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Документы департамента\ESG\Показатели по ESG\"/>
    </mc:Choice>
  </mc:AlternateContent>
  <bookViews>
    <workbookView xWindow="0" yWindow="2100" windowWidth="20280" windowHeight="11076" tabRatio="326"/>
  </bookViews>
  <sheets>
    <sheet name="MENU" sheetId="4" r:id="rId1"/>
    <sheet name="ENVIRONMENT" sheetId="5" r:id="rId2"/>
    <sheet name="SOCIAL" sheetId="2" r:id="rId3"/>
    <sheet name="GOVERNANCE" sheetId="6" r:id="rId4"/>
  </sheets>
  <externalReferences>
    <externalReference r:id="rId5"/>
    <externalReference r:id="rId6"/>
    <externalReference r:id="rId7"/>
    <externalReference r:id="rId8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0" hidden="1">#REF!</definedName>
    <definedName name="_Sort" hidden="1">#REF!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0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0" hidden="1">{"FCB_ALL",#N/A,FALSE,"FCB";"GREY_ALL",#N/A,FALSE,"GREY"}</definedName>
    <definedName name="dddddd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0" hidden="1">{"page1",#N/A,TRUE,"CSC";"page2",#N/A,TRUE,"CSC"}</definedName>
    <definedName name="lkjlklkjlkjlkj" hidden="1">{"page1",#N/A,TRUE,"CSC";"page2",#N/A,TRUE,"CSC"}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0" hidden="1">{"CSC_1",#N/A,FALSE,"CSC Outputs";"CSC_2",#N/A,FALSE,"CSC Outputs"}</definedName>
    <definedName name="New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0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{"Assumptions",#N/A,FALSE,"Assum"}</definedName>
    <definedName name="wrn.Assumptions." hidden="1">{"Assumptions",#N/A,FALSE,"Assum"}</definedName>
    <definedName name="wrn.CAG." localSheetId="0" hidden="1">{#N/A,#N/A,FALSE,"CAG"}</definedName>
    <definedName name="wrn.CAG." hidden="1">{#N/A,#N/A,FALSE,"CAG"}</definedName>
    <definedName name="wrn.Cider." localSheetId="0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0" hidden="1">{#N/A,#N/A,FALSE,"Contribution Analysis"}</definedName>
    <definedName name="wrn.contribution." hidden="1">{#N/A,#N/A,FALSE,"Contribution Analysis"}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0" hidden="1">{#N/A,#N/A,FALSE,"CPB"}</definedName>
    <definedName name="wrn.CPB." hidden="1">{#N/A,#N/A,FALSE,"CPB"}</definedName>
    <definedName name="wrn.Credit._.Summary." localSheetId="0" hidden="1">{#N/A,#N/A,FALSE,"Credit Summary"}</definedName>
    <definedName name="wrn.Credit._.Summary." hidden="1">{#N/A,#N/A,FALSE,"Credit Summary"}</definedName>
    <definedName name="wrn.CSC." localSheetId="0" hidden="1">{"page1",#N/A,TRUE,"CSC";"page2",#N/A,TRUE,"CSC"}</definedName>
    <definedName name="wrn.CSC." hidden="1">{"page1",#N/A,TRUE,"CSC";"page2",#N/A,TRUE,"CSC"}</definedName>
    <definedName name="wrn.CSC2" localSheetId="0" hidden="1">{"page1",#N/A,TRUE,"CSC";"page2",#N/A,TRUE,"CSC"}</definedName>
    <definedName name="wrn.CSC2" hidden="1">{"page1",#N/A,TRUE,"CSC";"page2",#N/A,TRUE,"CSC"}</definedName>
    <definedName name="wrn.csc2." localSheetId="0" hidden="1">{#N/A,#N/A,FALSE,"ORIX CSC"}</definedName>
    <definedName name="wrn.csc2." hidden="1">{#N/A,#N/A,FALSE,"ORIX CSC"}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0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0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0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0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hidden="1">{"FCB_ALL",#N/A,FALSE,"FCB"}</definedName>
    <definedName name="wrn.FE._.Sensitivity." localSheetId="0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0" hidden="1">{#N/A,#N/A,FALSE,"GIS"}</definedName>
    <definedName name="wrn.GIS." hidden="1">{#N/A,#N/A,FALSE,"GIS"}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0" hidden="1">{#N/A,#N/A,FALSE,"HNZ"}</definedName>
    <definedName name="wrn.HNZ." hidden="1">{#N/A,#N/A,FALSE,"HNZ"}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0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0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0" hidden="1">{#N/A,#N/A,FALSE,"K"}</definedName>
    <definedName name="wrn.K." hidden="1">{#N/A,#N/A,FALSE,"K"}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0" hidden="1">{#N/A,#N/A,FALSE,"MCCRK"}</definedName>
    <definedName name="wrn.MCCRK." hidden="1">{#N/A,#N/A,FALSE,"MCCRK"}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0" hidden="1">{#N/A,#N/A,FALSE,"NA"}</definedName>
    <definedName name="wrn.NA." hidden="1">{#N/A,#N/A,FALSE,"NA"}</definedName>
    <definedName name="wrn.NA._.Model._.T._.and._.B." localSheetId="0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0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0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0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tandalone." localSheetId="0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0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ard." localSheetId="0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0" hidden="1">{"test2",#N/A,TRUE,"Prices"}</definedName>
    <definedName name="wrn.test." hidden="1">{"test2",#N/A,TRUE,"Prices"}</definedName>
    <definedName name="wrn.Trading._.Summary." localSheetId="0" hidden="1">{#N/A,#N/A,FALSE,"Trading Summary"}</definedName>
    <definedName name="wrn.Trading._.Summary." hidden="1">{#N/A,#N/A,FALSE,"Trading Summary"}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0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0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0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0" hidden="1">{#N/A,#N/A,FALSE,"WWY"}</definedName>
    <definedName name="wrn.WWY." hidden="1">{#N/A,#N/A,FALSE,"WWY"}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">ENVIRONMENT!$A$1:$J$135</definedName>
    <definedName name="_xlnm.Print_Area" localSheetId="3">GOVERNANCE!$A$1:$J$88</definedName>
    <definedName name="_xlnm.Print_Area" localSheetId="0">MENU!$A$1:$Q$38</definedName>
    <definedName name="_xlnm.Print_Area" localSheetId="2">SOCIAL!$A$1:$K$83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0" hidden="1">#REF!</definedName>
    <definedName name="прмтмиато" hidden="1">#REF!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5" l="1"/>
  <c r="K49" i="5"/>
  <c r="J49" i="5"/>
  <c r="I49" i="5"/>
  <c r="H49" i="5"/>
  <c r="G49" i="5"/>
  <c r="F49" i="5"/>
  <c r="E49" i="5"/>
  <c r="D49" i="5"/>
  <c r="C49" i="5"/>
  <c r="L55" i="5"/>
  <c r="C50" i="2" l="1"/>
  <c r="D50" i="2"/>
  <c r="E50" i="2"/>
  <c r="F50" i="2"/>
  <c r="G50" i="2"/>
  <c r="H50" i="2"/>
  <c r="I50" i="2"/>
  <c r="J50" i="2"/>
  <c r="K50" i="2"/>
  <c r="L52" i="2" l="1"/>
  <c r="K52" i="2"/>
  <c r="J58" i="2"/>
  <c r="L44" i="2" l="1"/>
  <c r="L35" i="2"/>
  <c r="L21" i="2"/>
  <c r="L9" i="2"/>
  <c r="L8" i="2"/>
  <c r="L103" i="5"/>
  <c r="K103" i="5"/>
  <c r="J103" i="5"/>
  <c r="I103" i="5"/>
  <c r="H103" i="5"/>
  <c r="G103" i="5"/>
  <c r="F103" i="5"/>
  <c r="E103" i="5"/>
  <c r="L102" i="5"/>
  <c r="K102" i="5"/>
  <c r="J102" i="5"/>
  <c r="I102" i="5"/>
  <c r="H102" i="5"/>
  <c r="G102" i="5"/>
  <c r="F102" i="5"/>
  <c r="E102" i="5"/>
  <c r="L101" i="5"/>
  <c r="K101" i="5"/>
  <c r="J101" i="5"/>
  <c r="J100" i="5" s="1"/>
  <c r="I101" i="5"/>
  <c r="H101" i="5"/>
  <c r="G101" i="5"/>
  <c r="F101" i="5"/>
  <c r="E101" i="5"/>
  <c r="L100" i="5"/>
  <c r="K100" i="5"/>
  <c r="I100" i="5"/>
  <c r="H100" i="5"/>
  <c r="G100" i="5"/>
  <c r="F100" i="5"/>
  <c r="E100" i="5"/>
  <c r="L99" i="5"/>
  <c r="K99" i="5"/>
  <c r="J99" i="5"/>
  <c r="I99" i="5"/>
  <c r="H99" i="5"/>
  <c r="G99" i="5"/>
  <c r="F99" i="5"/>
  <c r="E99" i="5"/>
  <c r="L95" i="5"/>
  <c r="K95" i="5"/>
  <c r="J95" i="5"/>
  <c r="I95" i="5"/>
  <c r="H95" i="5"/>
  <c r="G95" i="5"/>
  <c r="F95" i="5"/>
  <c r="H85" i="5"/>
  <c r="L84" i="5"/>
  <c r="K84" i="5"/>
  <c r="J84" i="5"/>
  <c r="I84" i="5"/>
  <c r="H84" i="5"/>
  <c r="L75" i="5"/>
  <c r="K75" i="5"/>
  <c r="K74" i="5" s="1"/>
  <c r="K86" i="5" s="1"/>
  <c r="J75" i="5"/>
  <c r="J74" i="5" s="1"/>
  <c r="J86" i="5" s="1"/>
  <c r="I75" i="5"/>
  <c r="H75" i="5"/>
  <c r="L74" i="5"/>
  <c r="L86" i="5" s="1"/>
  <c r="I74" i="5"/>
  <c r="I86" i="5" s="1"/>
  <c r="H74" i="5"/>
  <c r="H86" i="5" s="1"/>
  <c r="L56" i="5"/>
  <c r="L54" i="5"/>
  <c r="L39" i="5" l="1"/>
  <c r="L32" i="5"/>
  <c r="K32" i="5"/>
  <c r="J32" i="5"/>
  <c r="L30" i="5" l="1"/>
  <c r="L29" i="5"/>
  <c r="L28" i="5"/>
  <c r="L27" i="5"/>
  <c r="L24" i="5"/>
  <c r="L23" i="5"/>
  <c r="L22" i="5"/>
  <c r="L21" i="5"/>
  <c r="L20" i="5"/>
  <c r="L18" i="5"/>
  <c r="L17" i="5"/>
  <c r="L16" i="5"/>
  <c r="L15" i="5"/>
  <c r="L14" i="5"/>
  <c r="L11" i="5" l="1"/>
  <c r="L9" i="5"/>
  <c r="L10" i="5"/>
  <c r="L26" i="5"/>
  <c r="L8" i="5" s="1"/>
  <c r="L55" i="6"/>
  <c r="L49" i="6"/>
  <c r="L37" i="6"/>
  <c r="L14" i="6"/>
  <c r="L12" i="6"/>
  <c r="L10" i="6"/>
  <c r="L43" i="6"/>
  <c r="K21" i="2" l="1"/>
  <c r="K44" i="2"/>
  <c r="K42" i="2"/>
  <c r="K35" i="2"/>
  <c r="K9" i="2"/>
  <c r="K8" i="2" s="1"/>
  <c r="J9" i="2"/>
  <c r="D11" i="2"/>
  <c r="C11" i="2"/>
  <c r="K67" i="5"/>
  <c r="K55" i="5"/>
  <c r="K12" i="5"/>
  <c r="K11" i="5"/>
  <c r="K10" i="5"/>
  <c r="K9" i="5"/>
  <c r="K8" i="5"/>
  <c r="K55" i="6"/>
  <c r="K49" i="6"/>
  <c r="K43" i="6"/>
  <c r="K37" i="6"/>
  <c r="K14" i="6"/>
  <c r="K12" i="6"/>
  <c r="K10" i="6"/>
  <c r="C39" i="5"/>
  <c r="D39" i="5"/>
  <c r="E39" i="5"/>
  <c r="F39" i="5"/>
  <c r="G39" i="5"/>
  <c r="H39" i="5"/>
  <c r="I39" i="5"/>
  <c r="J39" i="5"/>
  <c r="I44" i="2"/>
  <c r="I58" i="2"/>
  <c r="H58" i="2"/>
  <c r="G58" i="2"/>
  <c r="F58" i="2"/>
  <c r="E58" i="2"/>
  <c r="D58" i="2"/>
  <c r="C58" i="2"/>
  <c r="J14" i="6"/>
  <c r="J12" i="6"/>
  <c r="J10" i="6"/>
  <c r="J55" i="6"/>
  <c r="J49" i="6"/>
  <c r="J43" i="6"/>
  <c r="J37" i="6"/>
  <c r="J44" i="2"/>
  <c r="J30" i="5"/>
  <c r="J24" i="5"/>
  <c r="J18" i="5"/>
  <c r="J12" i="5" s="1"/>
  <c r="J11" i="5"/>
  <c r="J10" i="5"/>
  <c r="J9" i="5"/>
  <c r="H44" i="2"/>
  <c r="F44" i="2"/>
  <c r="E44" i="2"/>
  <c r="D44" i="2"/>
  <c r="C44" i="2"/>
  <c r="G26" i="5"/>
  <c r="G20" i="5"/>
  <c r="G8" i="5" s="1"/>
  <c r="G18" i="5"/>
  <c r="G12" i="5" s="1"/>
  <c r="G10" i="5"/>
  <c r="G9" i="5"/>
  <c r="J32" i="2"/>
  <c r="J56" i="5"/>
  <c r="J54" i="5"/>
  <c r="J59" i="5"/>
  <c r="J55" i="5" s="1"/>
  <c r="J35" i="2"/>
  <c r="J8" i="2"/>
  <c r="I35" i="2"/>
  <c r="H35" i="2"/>
  <c r="G35" i="2"/>
  <c r="F35" i="2"/>
  <c r="C17" i="6"/>
  <c r="D17" i="6"/>
  <c r="E17" i="6"/>
  <c r="G17" i="6"/>
  <c r="H17" i="6"/>
  <c r="I55" i="6"/>
  <c r="H55" i="6"/>
  <c r="G55" i="6"/>
  <c r="F55" i="6"/>
  <c r="E55" i="6"/>
  <c r="D55" i="6"/>
  <c r="C55" i="6"/>
  <c r="I49" i="6"/>
  <c r="H49" i="6"/>
  <c r="G49" i="6"/>
  <c r="F49" i="6"/>
  <c r="E49" i="6"/>
  <c r="D49" i="6"/>
  <c r="C49" i="6"/>
  <c r="I43" i="6"/>
  <c r="H43" i="6"/>
  <c r="G43" i="6"/>
  <c r="F43" i="6"/>
  <c r="E43" i="6"/>
  <c r="D43" i="6"/>
  <c r="C43" i="6"/>
  <c r="I37" i="6"/>
  <c r="H37" i="6"/>
  <c r="G37" i="6"/>
  <c r="F37" i="6"/>
  <c r="E37" i="6"/>
  <c r="D37" i="6"/>
  <c r="C37" i="6"/>
  <c r="H8" i="6"/>
  <c r="H12" i="6" s="1"/>
  <c r="H14" i="6"/>
  <c r="G8" i="6"/>
  <c r="G14" i="6"/>
  <c r="F8" i="6"/>
  <c r="F12" i="6"/>
  <c r="E8" i="6"/>
  <c r="E12" i="6"/>
  <c r="D8" i="6"/>
  <c r="D10" i="6" s="1"/>
  <c r="D14" i="6"/>
  <c r="C8" i="6"/>
  <c r="C14" i="6"/>
  <c r="I14" i="6"/>
  <c r="I10" i="6"/>
  <c r="C10" i="6"/>
  <c r="I12" i="6"/>
  <c r="H10" i="6"/>
  <c r="F14" i="6"/>
  <c r="F10" i="6"/>
  <c r="G12" i="6"/>
  <c r="I18" i="5"/>
  <c r="H18" i="5"/>
  <c r="F18" i="5"/>
  <c r="E18" i="5"/>
  <c r="D18" i="5"/>
  <c r="C18" i="5"/>
  <c r="I14" i="2"/>
  <c r="I12" i="2"/>
  <c r="D14" i="2"/>
  <c r="C14" i="2"/>
  <c r="C12" i="2"/>
  <c r="C35" i="2"/>
  <c r="D35" i="2"/>
  <c r="E35" i="2"/>
  <c r="H19" i="2"/>
  <c r="G10" i="6"/>
  <c r="C12" i="6"/>
  <c r="E10" i="6"/>
  <c r="E14" i="6"/>
  <c r="D12" i="6" l="1"/>
</calcChain>
</file>

<file path=xl/sharedStrings.xml><?xml version="1.0" encoding="utf-8"?>
<sst xmlns="http://schemas.openxmlformats.org/spreadsheetml/2006/main" count="731" uniqueCount="263">
  <si>
    <t>%</t>
  </si>
  <si>
    <t xml:space="preserve">     Ni</t>
  </si>
  <si>
    <t>н/д</t>
  </si>
  <si>
    <t>Norilsk Nickel Harjavalta</t>
  </si>
  <si>
    <t>-</t>
  </si>
  <si>
    <t>AIR</t>
  </si>
  <si>
    <t>WATER</t>
  </si>
  <si>
    <t>Kola MMC</t>
  </si>
  <si>
    <t>kt</t>
  </si>
  <si>
    <t>t</t>
  </si>
  <si>
    <t>mln t</t>
  </si>
  <si>
    <t>PJSC MMC Norilsk Nickel</t>
  </si>
  <si>
    <t>RUB / USD</t>
  </si>
  <si>
    <t>USD mln</t>
  </si>
  <si>
    <t>GWh</t>
  </si>
  <si>
    <t>Other divisions and subsidiaries</t>
  </si>
  <si>
    <t>Polar Division and Norilskenergo</t>
  </si>
  <si>
    <t>Unit</t>
  </si>
  <si>
    <t>Average rate for the year ended 31 December</t>
  </si>
  <si>
    <t>yes / no</t>
  </si>
  <si>
    <t>people</t>
  </si>
  <si>
    <t>‘000 people</t>
  </si>
  <si>
    <t xml:space="preserve">     independent directors</t>
  </si>
  <si>
    <t xml:space="preserve">    non-executive directors</t>
  </si>
  <si>
    <t xml:space="preserve">    executive directors</t>
  </si>
  <si>
    <t>Years served on the Board of Directors</t>
  </si>
  <si>
    <t>&gt; 60 years old</t>
  </si>
  <si>
    <t>40-60 years old</t>
  </si>
  <si>
    <t>&lt; 40 years old</t>
  </si>
  <si>
    <t>Industry experience</t>
  </si>
  <si>
    <t>Budget Committee</t>
  </si>
  <si>
    <t>Strategy Committee</t>
  </si>
  <si>
    <t>Corporate Governance, Nomination and Remuneration Committee</t>
  </si>
  <si>
    <t>Share of independent directors</t>
  </si>
  <si>
    <t xml:space="preserve">   share of non-executive directors</t>
  </si>
  <si>
    <t xml:space="preserve">    in-person meeting</t>
  </si>
  <si>
    <t>Age of Directors</t>
  </si>
  <si>
    <t>Total Directors, including:</t>
  </si>
  <si>
    <t xml:space="preserve">    share of independent directors</t>
  </si>
  <si>
    <t xml:space="preserve">   share of executive directors</t>
  </si>
  <si>
    <t>Chairman of Committee - independent director</t>
  </si>
  <si>
    <t>Notes:</t>
  </si>
  <si>
    <t xml:space="preserve">    pension plans</t>
  </si>
  <si>
    <t xml:space="preserve">    housing programmes</t>
  </si>
  <si>
    <t xml:space="preserve">    other social expenses </t>
  </si>
  <si>
    <t>LLC Inctitut Gypronickel</t>
  </si>
  <si>
    <t>Female</t>
  </si>
  <si>
    <t>Male</t>
  </si>
  <si>
    <t>Total average headcount, including:</t>
  </si>
  <si>
    <t xml:space="preserve">    Russia</t>
  </si>
  <si>
    <t>Production, project management, storage, delivery, including by sea, and sales.</t>
  </si>
  <si>
    <t>R&amp;D, design, engineering and environment conservation activities, mining, concentration and smelting project management; 
development of standards for non-ferrous metal industry products and their inspection methods; 
development of reference standards for the composition of non-ferrous metal industry products.</t>
  </si>
  <si>
    <t>Certification area</t>
  </si>
  <si>
    <t>Water withdrawal</t>
  </si>
  <si>
    <t xml:space="preserve">Share of reused and recycled water </t>
  </si>
  <si>
    <t>Total wastewater discharge, including:</t>
  </si>
  <si>
    <t xml:space="preserve">WASTE </t>
  </si>
  <si>
    <t>Waste generation</t>
  </si>
  <si>
    <t>Waste storage at own waste disposal sites</t>
  </si>
  <si>
    <t xml:space="preserve">    nitrogen oxide (NОx)</t>
  </si>
  <si>
    <t xml:space="preserve">    solids</t>
  </si>
  <si>
    <t>Air</t>
  </si>
  <si>
    <t>Water</t>
  </si>
  <si>
    <t>Waste</t>
  </si>
  <si>
    <t>Total air pollutant emissions, including:</t>
  </si>
  <si>
    <t>Industrial water</t>
  </si>
  <si>
    <t xml:space="preserve">Pollutants in industrial water, including: </t>
  </si>
  <si>
    <t>Water consumption</t>
  </si>
  <si>
    <t>Waste disposal</t>
  </si>
  <si>
    <t>Electric power consumption</t>
  </si>
  <si>
    <t>Energy consumption for heating /cooling</t>
  </si>
  <si>
    <t>Steam consumption</t>
  </si>
  <si>
    <t>Environmental policy</t>
  </si>
  <si>
    <t>Charter</t>
  </si>
  <si>
    <t>Quality policy</t>
  </si>
  <si>
    <t>Regulations on General Meeting of Shareholders</t>
  </si>
  <si>
    <t>Regulations on the Board of Directors</t>
  </si>
  <si>
    <t>Code of Conduct and Ethics for Members of Board of Directors</t>
  </si>
  <si>
    <t>Regulations on the Management Board</t>
  </si>
  <si>
    <t>Regulations on the Audit Commission</t>
  </si>
  <si>
    <t>Code of Business Ethics</t>
  </si>
  <si>
    <t>Professional Development Policy for Members of Board of Directors</t>
  </si>
  <si>
    <t>Performance Evaluation Policy for Board of Directors</t>
  </si>
  <si>
    <t>Remuneration Policy for Members of Board of Directors</t>
  </si>
  <si>
    <t>Regulations on Dividend Policy</t>
  </si>
  <si>
    <t>Anti-Corruption Policy</t>
  </si>
  <si>
    <t>Occupational Health and Safety Policy</t>
  </si>
  <si>
    <t>Freedom of Association Policy</t>
  </si>
  <si>
    <t>Human Rights Policy</t>
  </si>
  <si>
    <t>Working Conditions Policy</t>
  </si>
  <si>
    <t>Local Community Relations Policy</t>
  </si>
  <si>
    <t xml:space="preserve">    Europe</t>
  </si>
  <si>
    <t xml:space="preserve">    Africa</t>
  </si>
  <si>
    <t xml:space="preserve">    North America</t>
  </si>
  <si>
    <t xml:space="preserve">    Australia</t>
  </si>
  <si>
    <t xml:space="preserve">    Asia</t>
  </si>
  <si>
    <t>Murmansk Region</t>
  </si>
  <si>
    <t>Moscow and other regions of Russia</t>
  </si>
  <si>
    <t>Employee turnover</t>
  </si>
  <si>
    <t>Personnel training</t>
  </si>
  <si>
    <t>Average salary</t>
  </si>
  <si>
    <t>Social partnership</t>
  </si>
  <si>
    <t>Expenses for social programmes</t>
  </si>
  <si>
    <t xml:space="preserve">    charity</t>
  </si>
  <si>
    <t>HEALTH AND SAFETY</t>
  </si>
  <si>
    <t xml:space="preserve">    fatal</t>
  </si>
  <si>
    <t xml:space="preserve">    temporary disability</t>
  </si>
  <si>
    <t>ENVIRONMENTAL EXPENSES</t>
  </si>
  <si>
    <t>Environmental expenses</t>
  </si>
  <si>
    <t>ENVIRONMENTAL IMPACT OF NORILSK NICKEL HARJAVALTA</t>
  </si>
  <si>
    <t>Gender profile</t>
  </si>
  <si>
    <t xml:space="preserve">    sponsorship and infrastructure</t>
  </si>
  <si>
    <t>Occupational health and safety expenses</t>
  </si>
  <si>
    <t>Equal Opportunities Programme</t>
  </si>
  <si>
    <t>Structure of the Board of Directors</t>
  </si>
  <si>
    <t xml:space="preserve">Regulations on the Corporate Governance, Nomination and Remuneration Committee </t>
  </si>
  <si>
    <t xml:space="preserve"> '000 RUB </t>
  </si>
  <si>
    <t xml:space="preserve"> '000 USD</t>
  </si>
  <si>
    <t>n/a</t>
  </si>
  <si>
    <t>no</t>
  </si>
  <si>
    <t>yes</t>
  </si>
  <si>
    <t xml:space="preserve">    other</t>
  </si>
  <si>
    <t>Water used</t>
  </si>
  <si>
    <t xml:space="preserve">   purified to standard quality and water clean </t>
  </si>
  <si>
    <t>Waste utilization at own facilities</t>
  </si>
  <si>
    <t xml:space="preserve">Energy efficiency </t>
  </si>
  <si>
    <t>Average headcount as of year-end</t>
  </si>
  <si>
    <t>Krasnoyarsk Region</t>
  </si>
  <si>
    <t>Average monthly salary</t>
  </si>
  <si>
    <t>Employees - trade unions</t>
  </si>
  <si>
    <t>Employees represented in social-labor councils</t>
  </si>
  <si>
    <t>Employees trained</t>
  </si>
  <si>
    <t>times</t>
  </si>
  <si>
    <t>Meetings of the Board of Directors, including:</t>
  </si>
  <si>
    <t>Meetings of the Committee</t>
  </si>
  <si>
    <t>Meetings of the Management Board</t>
  </si>
  <si>
    <t>Members</t>
  </si>
  <si>
    <t>Females</t>
  </si>
  <si>
    <t>MAIN CORPORATE REGULATIONS AND POLICIES</t>
  </si>
  <si>
    <t>Share of non-audit services</t>
  </si>
  <si>
    <t>‘000 USD</t>
  </si>
  <si>
    <t>FEE OF EXTERNAL AUDITOR</t>
  </si>
  <si>
    <t>Regulations on Audit and Sustainable Development Committee</t>
  </si>
  <si>
    <t>Antitraust Compliance Policy</t>
  </si>
  <si>
    <t>ESG DATA BOOK OF NORILSK NICKEL GROUP</t>
  </si>
  <si>
    <t>Investor Relations Department</t>
  </si>
  <si>
    <t>Phone: +7 495 786 83 20</t>
  </si>
  <si>
    <r>
      <t xml:space="preserve">E-mail: </t>
    </r>
    <r>
      <rPr>
        <u/>
        <sz val="12"/>
        <color rgb="FF2E75B6"/>
        <rFont val="Tahoma"/>
        <family val="2"/>
        <charset val="204"/>
      </rPr>
      <t>ir@nornik.ru</t>
    </r>
  </si>
  <si>
    <t>ENVIRONMENT</t>
  </si>
  <si>
    <t>SOCIAL</t>
  </si>
  <si>
    <t>GOVERNANCE</t>
  </si>
  <si>
    <t>Audit and Sustainable Development Committee</t>
  </si>
  <si>
    <t>Indigenous Rights Policy</t>
  </si>
  <si>
    <t>Biodiversity Policy</t>
  </si>
  <si>
    <t>Environmental Impact Assessment Policy</t>
  </si>
  <si>
    <t>Renewable Energy Sources Policy</t>
  </si>
  <si>
    <t>TJ</t>
  </si>
  <si>
    <t>Chita region</t>
  </si>
  <si>
    <t>Pollutans discharged as part of the wastewater</t>
  </si>
  <si>
    <t>Menu</t>
  </si>
  <si>
    <t>Production of nickel and cobalt products.
HSE certification.</t>
  </si>
  <si>
    <t>HSE certification.</t>
  </si>
  <si>
    <t>Companies</t>
  </si>
  <si>
    <t xml:space="preserve"> Standards</t>
  </si>
  <si>
    <t>CERTIFICATES</t>
  </si>
  <si>
    <t>GOST R 54934-2012 (Russian standard identical to OHSAS 18001)</t>
  </si>
  <si>
    <t xml:space="preserve">Accident among the contractors, including: </t>
  </si>
  <si>
    <t>Air pollutant emissions, Polar Division</t>
  </si>
  <si>
    <t>Air pollutant emissions, Kola MMC</t>
  </si>
  <si>
    <t>Air pollutant emissions, Other divisions and subsidiaries</t>
  </si>
  <si>
    <t>Wastewater discharge, Polar Division and Norilskenergo</t>
  </si>
  <si>
    <t>Wastewater discharge, Kola MMC</t>
  </si>
  <si>
    <t>Wastewater discharge, Other divisions and subsidiaries</t>
  </si>
  <si>
    <t>PERSONNEL AND SOCIAL PROGRAMMES, total Group</t>
  </si>
  <si>
    <t>Environmental Indicators</t>
  </si>
  <si>
    <t xml:space="preserve"> Social Indicators</t>
  </si>
  <si>
    <t>Corporate Governance</t>
  </si>
  <si>
    <t>natural gas</t>
  </si>
  <si>
    <t>coal</t>
  </si>
  <si>
    <t>diesel and fuel oils</t>
  </si>
  <si>
    <t>gasoline and aviation fuel</t>
  </si>
  <si>
    <t>Norilsk Region</t>
  </si>
  <si>
    <r>
      <t xml:space="preserve">MANAGEMENT BOARD 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</si>
  <si>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t>&lt; 3 years</t>
  </si>
  <si>
    <t>3-5 years</t>
  </si>
  <si>
    <t>&gt; 5 years</t>
  </si>
  <si>
    <t>Strategy</t>
  </si>
  <si>
    <t>Law and corporate governance</t>
  </si>
  <si>
    <t>Finance and audit</t>
  </si>
  <si>
    <t>Mining and engineering</t>
  </si>
  <si>
    <t>International economic relations</t>
  </si>
  <si>
    <r>
      <t>COMMITTEES OF THE BOARD OF DIRECTORS</t>
    </r>
    <r>
      <rPr>
        <b/>
        <sz val="10"/>
        <color rgb="FFC00000"/>
        <rFont val="Tahoma"/>
        <family val="2"/>
        <charset val="204"/>
      </rPr>
      <t xml:space="preserve"> 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</si>
  <si>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r>
      <t xml:space="preserve">BOAD OF DIRECTORS 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</si>
  <si>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t>Employees covered by collective bargaining agreement</t>
  </si>
  <si>
    <r>
      <rPr>
        <b/>
        <i/>
        <vertAlign val="superscript"/>
        <sz val="9"/>
        <color rgb="FFC00000"/>
        <rFont val="Tahoma"/>
        <family val="2"/>
        <charset val="204"/>
      </rPr>
      <t>4</t>
    </r>
    <r>
      <rPr>
        <i/>
        <sz val="9"/>
        <color theme="1"/>
        <rFont val="Tahoma"/>
        <family val="2"/>
        <charset val="204"/>
      </rPr>
      <t xml:space="preserve"> Indicators have been monitored since 2013:
FIFR (Fatal-Injury Frequency Rate) - number of fatalities / actual hours worked by all employees * 1 000 000
LTIFR (Lost Time Injury Frequency Rate) – lost workdays due to injuries (excluding fatal) / actual hours worked by all employees * 1 000 000</t>
    </r>
  </si>
  <si>
    <r>
      <rPr>
        <b/>
        <i/>
        <vertAlign val="superscript"/>
        <sz val="9"/>
        <color rgb="FFC00000"/>
        <rFont val="Tahoma"/>
        <family val="2"/>
        <charset val="204"/>
      </rPr>
      <t>5</t>
    </r>
    <r>
      <rPr>
        <i/>
        <sz val="9"/>
        <color theme="1"/>
        <rFont val="Tahoma"/>
        <family val="2"/>
        <charset val="204"/>
      </rPr>
      <t xml:space="preserve"> Excluding contractors.
</t>
    </r>
  </si>
  <si>
    <r>
      <rPr>
        <b/>
        <i/>
        <vertAlign val="superscript"/>
        <sz val="9"/>
        <color rgb="FFC00000"/>
        <rFont val="Tahoma"/>
        <family val="2"/>
        <charset val="204"/>
      </rPr>
      <t>1</t>
    </r>
    <r>
      <rPr>
        <i/>
        <sz val="9"/>
        <color theme="1"/>
        <rFont val="Tahoma"/>
        <family val="2"/>
        <charset val="204"/>
      </rPr>
      <t xml:space="preserve"> The indicators are given at the end of the year.</t>
    </r>
  </si>
  <si>
    <r>
      <rPr>
        <b/>
        <i/>
        <vertAlign val="superscript"/>
        <sz val="9"/>
        <color rgb="FFC00000"/>
        <rFont val="Tahoma"/>
        <family val="2"/>
        <charset val="204"/>
      </rPr>
      <t>1</t>
    </r>
    <r>
      <rPr>
        <i/>
        <sz val="9"/>
        <color theme="1"/>
        <rFont val="Tahoma"/>
        <family val="2"/>
        <charset val="204"/>
      </rPr>
      <t xml:space="preserve"> Russian divisions and subsidiaries.</t>
    </r>
  </si>
  <si>
    <t xml:space="preserve">Environmental expenses </t>
  </si>
  <si>
    <t>Environmental damage compensation and emission fee</t>
  </si>
  <si>
    <t xml:space="preserve">  Metals and mining</t>
  </si>
  <si>
    <t xml:space="preserve">  Construction and repair</t>
  </si>
  <si>
    <t xml:space="preserve">  Transport </t>
  </si>
  <si>
    <t xml:space="preserve">  Research and development</t>
  </si>
  <si>
    <t xml:space="preserve">  Others</t>
  </si>
  <si>
    <t>Average headcount by sector as of year-end</t>
  </si>
  <si>
    <t xml:space="preserve">  Energy and utilities</t>
  </si>
  <si>
    <t>ISO 9001:2015
ISO 14001:2015</t>
  </si>
  <si>
    <t>ISO 9001:2015
ISO 14001:2015
OHSAS 18001:2007</t>
  </si>
  <si>
    <t>ISO 9001:2015</t>
  </si>
  <si>
    <t>Data period: 2010-2019</t>
  </si>
  <si>
    <r>
      <t xml:space="preserve">    sulphur dioxide (SO</t>
    </r>
    <r>
      <rPr>
        <i/>
        <vertAlign val="subscript"/>
        <sz val="10"/>
        <color indexed="8"/>
        <rFont val="Tahoma"/>
        <family val="2"/>
        <charset val="204"/>
      </rPr>
      <t>2</t>
    </r>
    <r>
      <rPr>
        <i/>
        <sz val="10"/>
        <color indexed="8"/>
        <rFont val="Tahoma"/>
        <family val="2"/>
        <charset val="204"/>
      </rPr>
      <t>)</t>
    </r>
  </si>
  <si>
    <t xml:space="preserve">    Scope 1</t>
  </si>
  <si>
    <t xml:space="preserve">    Scope 2</t>
  </si>
  <si>
    <t>Total GHG emissions, including:</t>
  </si>
  <si>
    <t xml:space="preserve">  Polar Division and Norilskenergo</t>
  </si>
  <si>
    <t xml:space="preserve">  Kola MMC</t>
  </si>
  <si>
    <t xml:space="preserve">  Other divisions and subsidiaries</t>
  </si>
  <si>
    <t xml:space="preserve">EXCHANGE RATES USED FOR CALCULATION </t>
  </si>
  <si>
    <t xml:space="preserve">  1. Fuels consumption</t>
  </si>
  <si>
    <t xml:space="preserve">  2. Energy from own renewable fuels (HPP)</t>
  </si>
  <si>
    <t xml:space="preserve">  4. Energy sold to 3rd parties</t>
  </si>
  <si>
    <t xml:space="preserve">  3. Energy bought from 3rd parties</t>
  </si>
  <si>
    <t>The share of renewable sources in total electricity &amp; fuels consumption</t>
  </si>
  <si>
    <t>Electricity (includng sold to 3rd parties)</t>
  </si>
  <si>
    <t>The share of renewable sources in electricity consumption</t>
  </si>
  <si>
    <t>The share of  natural gas in electricity &amp; fuels consumption</t>
  </si>
  <si>
    <t xml:space="preserve">PRODUCTION AND CONSUMPTION OF ELECTRICITY AND FUELS </t>
  </si>
  <si>
    <r>
      <t xml:space="preserve">    NH</t>
    </r>
    <r>
      <rPr>
        <i/>
        <vertAlign val="subscript"/>
        <sz val="10"/>
        <rFont val="Tahoma"/>
        <family val="2"/>
        <charset val="204"/>
      </rPr>
      <t>3</t>
    </r>
  </si>
  <si>
    <r>
      <t xml:space="preserve">    SO</t>
    </r>
    <r>
      <rPr>
        <i/>
        <vertAlign val="superscript"/>
        <sz val="10"/>
        <color theme="1"/>
        <rFont val="Tahoma"/>
        <family val="2"/>
        <charset val="204"/>
      </rPr>
      <t>2-</t>
    </r>
    <r>
      <rPr>
        <i/>
        <vertAlign val="subscript"/>
        <sz val="10"/>
        <color theme="1"/>
        <rFont val="Tahoma"/>
        <family val="2"/>
        <charset val="204"/>
      </rPr>
      <t>4</t>
    </r>
  </si>
  <si>
    <r>
      <t xml:space="preserve">    NH</t>
    </r>
    <r>
      <rPr>
        <i/>
        <vertAlign val="subscript"/>
        <sz val="10"/>
        <rFont val="Tahoma"/>
        <family val="2"/>
        <charset val="204"/>
      </rPr>
      <t>4</t>
    </r>
    <r>
      <rPr>
        <i/>
        <sz val="10"/>
        <rFont val="Tahoma"/>
        <family val="2"/>
        <charset val="204"/>
      </rPr>
      <t xml:space="preserve"> (converted to nitrogen)</t>
    </r>
  </si>
  <si>
    <t>Polar Division</t>
  </si>
  <si>
    <t>Mining and processing of ore, production.
HSE certification.</t>
  </si>
  <si>
    <r>
      <rPr>
        <b/>
        <i/>
        <vertAlign val="superscript"/>
        <sz val="9"/>
        <color rgb="FFC00000"/>
        <rFont val="Tahoma"/>
        <family val="2"/>
        <charset val="204"/>
      </rPr>
      <t>2</t>
    </r>
    <r>
      <rPr>
        <i/>
        <sz val="9"/>
        <color theme="1"/>
        <rFont val="Tahoma"/>
        <family val="2"/>
        <charset val="204"/>
      </rPr>
      <t xml:space="preserve"> The estimate was made in 2019 as per the GHG Protocol Guidelines and includes carbon dioxide (СО2) and methane (СН4) emissions.</t>
    </r>
  </si>
  <si>
    <t>Health and safety indicators (total Group)</t>
  </si>
  <si>
    <r>
      <t xml:space="preserve">Health and safety expenses </t>
    </r>
    <r>
      <rPr>
        <b/>
        <vertAlign val="superscript"/>
        <sz val="10"/>
        <color rgb="FFC00000"/>
        <rFont val="Tahoma"/>
        <family val="2"/>
        <charset val="204"/>
      </rPr>
      <t>2</t>
    </r>
  </si>
  <si>
    <r>
      <t xml:space="preserve">GHG emission intensity index </t>
    </r>
    <r>
      <rPr>
        <b/>
        <vertAlign val="superscript"/>
        <sz val="10"/>
        <color rgb="FFC00000"/>
        <rFont val="Tahoma"/>
        <family val="2"/>
        <charset val="204"/>
      </rPr>
      <t>3</t>
    </r>
  </si>
  <si>
    <r>
      <t xml:space="preserve">Greenhouse gas emissions (GHG), Total Group </t>
    </r>
    <r>
      <rPr>
        <b/>
        <vertAlign val="superscript"/>
        <sz val="10"/>
        <color rgb="FFC00000"/>
        <rFont val="Tahoma"/>
        <family val="2"/>
        <charset val="204"/>
      </rPr>
      <t>1, 2</t>
    </r>
  </si>
  <si>
    <r>
      <t>mln m</t>
    </r>
    <r>
      <rPr>
        <vertAlign val="superscript"/>
        <sz val="10"/>
        <rFont val="Tahoma"/>
        <family val="2"/>
        <charset val="204"/>
      </rPr>
      <t>3</t>
    </r>
  </si>
  <si>
    <r>
      <t>mln m</t>
    </r>
    <r>
      <rPr>
        <i/>
        <vertAlign val="superscript"/>
        <sz val="10"/>
        <rFont val="Tahoma"/>
        <family val="2"/>
        <charset val="204"/>
      </rPr>
      <t>3</t>
    </r>
  </si>
  <si>
    <r>
      <t xml:space="preserve"> '000 m</t>
    </r>
    <r>
      <rPr>
        <vertAlign val="superscript"/>
        <sz val="10"/>
        <rFont val="Tahoma"/>
        <family val="2"/>
        <charset val="204"/>
      </rPr>
      <t>3</t>
    </r>
  </si>
  <si>
    <r>
      <rPr>
        <b/>
        <i/>
        <vertAlign val="superscript"/>
        <sz val="9"/>
        <color rgb="FFC00000"/>
        <rFont val="Tahoma"/>
        <family val="2"/>
        <charset val="204"/>
      </rPr>
      <t>3</t>
    </r>
    <r>
      <rPr>
        <i/>
        <sz val="9"/>
        <color indexed="63"/>
        <rFont val="Tahoma"/>
        <family val="2"/>
        <charset val="204"/>
      </rPr>
      <t xml:space="preserve"> </t>
    </r>
    <r>
      <rPr>
        <i/>
        <sz val="9"/>
        <color theme="1"/>
        <rFont val="Tahoma"/>
        <family val="2"/>
        <charset val="204"/>
      </rPr>
      <t>Carbon intensity index is calculated as carbon emissions per tonne of copper equivalent as a percentage relative to its level in 2013, assumed as 100%.</t>
    </r>
  </si>
  <si>
    <t>Social expenses for employees</t>
  </si>
  <si>
    <r>
      <t xml:space="preserve">Total expenses, including: </t>
    </r>
    <r>
      <rPr>
        <b/>
        <vertAlign val="superscript"/>
        <sz val="10"/>
        <color rgb="FFC00000"/>
        <rFont val="Tahoma"/>
        <family val="2"/>
        <charset val="204"/>
      </rPr>
      <t>2</t>
    </r>
  </si>
  <si>
    <r>
      <t xml:space="preserve">Employee turnover 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</si>
  <si>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r>
      <t xml:space="preserve">Average salary </t>
    </r>
    <r>
      <rPr>
        <b/>
        <vertAlign val="superscript"/>
        <sz val="10"/>
        <color rgb="FFC00000"/>
        <rFont val="Tahoma"/>
        <family val="2"/>
        <charset val="204"/>
      </rPr>
      <t>2</t>
    </r>
  </si>
  <si>
    <r>
      <t xml:space="preserve">Invested into personnel training </t>
    </r>
    <r>
      <rPr>
        <b/>
        <vertAlign val="superscript"/>
        <sz val="10"/>
        <color rgb="FFC00000"/>
        <rFont val="Tahoma"/>
        <family val="2"/>
        <charset val="204"/>
      </rPr>
      <t>2</t>
    </r>
  </si>
  <si>
    <r>
      <t xml:space="preserve">    health resort treatment (inc. family members) </t>
    </r>
    <r>
      <rPr>
        <b/>
        <vertAlign val="superscript"/>
        <sz val="10"/>
        <color rgb="FFC00000"/>
        <rFont val="Tahoma"/>
        <family val="2"/>
        <charset val="204"/>
      </rPr>
      <t>3</t>
    </r>
  </si>
  <si>
    <r>
      <t xml:space="preserve">Industrial accidents, including: </t>
    </r>
    <r>
      <rPr>
        <b/>
        <vertAlign val="superscript"/>
        <sz val="10"/>
        <color rgb="FFC00000"/>
        <rFont val="Tahoma"/>
        <family val="2"/>
        <charset val="204"/>
      </rPr>
      <t>5</t>
    </r>
  </si>
  <si>
    <r>
      <rPr>
        <b/>
        <i/>
        <vertAlign val="superscript"/>
        <sz val="9"/>
        <color rgb="FFC00000"/>
        <rFont val="Tahoma"/>
        <family val="2"/>
        <charset val="204"/>
      </rPr>
      <t>1</t>
    </r>
    <r>
      <rPr>
        <i/>
        <sz val="9"/>
        <color indexed="63"/>
        <rFont val="Tahoma"/>
        <family val="2"/>
        <charset val="204"/>
      </rPr>
      <t xml:space="preserve"> </t>
    </r>
    <r>
      <rPr>
        <i/>
        <sz val="9"/>
        <rFont val="Tahoma"/>
        <family val="2"/>
        <charset val="204"/>
      </rPr>
      <t>The ratio of voluntary resignations, dismissals for breach of labour discipline and negotiated terminations to the annual average headcount.</t>
    </r>
  </si>
  <si>
    <r>
      <rPr>
        <b/>
        <i/>
        <vertAlign val="superscript"/>
        <sz val="9"/>
        <color rgb="FFC00000"/>
        <rFont val="Tahoma"/>
        <family val="2"/>
        <charset val="204"/>
      </rPr>
      <t>2</t>
    </r>
    <r>
      <rPr>
        <i/>
        <sz val="9"/>
        <color indexed="63"/>
        <rFont val="Tahoma"/>
        <family val="2"/>
        <charset val="204"/>
      </rPr>
      <t xml:space="preserve"> </t>
    </r>
    <r>
      <rPr>
        <i/>
        <sz val="9"/>
        <rFont val="Tahoma"/>
        <family val="2"/>
        <charset val="204"/>
      </rPr>
      <t>Based on the annual average USD/RUB exchange rate.</t>
    </r>
  </si>
  <si>
    <r>
      <rPr>
        <b/>
        <i/>
        <vertAlign val="superscript"/>
        <sz val="9"/>
        <color rgb="FFC00000"/>
        <rFont val="Tahoma"/>
        <family val="2"/>
        <charset val="204"/>
      </rPr>
      <t>3</t>
    </r>
    <r>
      <rPr>
        <i/>
        <sz val="9"/>
        <color indexed="63"/>
        <rFont val="Tahoma"/>
        <family val="2"/>
        <charset val="204"/>
      </rPr>
      <t xml:space="preserve"> </t>
    </r>
    <r>
      <rPr>
        <i/>
        <sz val="9"/>
        <rFont val="Tahoma"/>
        <family val="2"/>
        <charset val="204"/>
      </rPr>
      <t>Including airfare.</t>
    </r>
  </si>
  <si>
    <r>
      <t xml:space="preserve">FIFR </t>
    </r>
    <r>
      <rPr>
        <b/>
        <vertAlign val="superscript"/>
        <sz val="10"/>
        <color rgb="FFC00000"/>
        <rFont val="Tahoma"/>
        <family val="2"/>
        <charset val="204"/>
      </rPr>
      <t xml:space="preserve">4 </t>
    </r>
  </si>
  <si>
    <r>
      <t xml:space="preserve">LTIFR </t>
    </r>
    <r>
      <rPr>
        <b/>
        <vertAlign val="superscript"/>
        <sz val="10"/>
        <color rgb="FFC00000"/>
        <rFont val="Tahoma"/>
        <family val="2"/>
        <charset val="204"/>
      </rPr>
      <t>4</t>
    </r>
  </si>
  <si>
    <r>
      <t xml:space="preserve">Air pollutant emissions, Total Group 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</si>
  <si>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r>
      <t xml:space="preserve">Total Group 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</si>
  <si>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r>
      <t xml:space="preserve">Wastewater discharge, Total Group 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</si>
  <si>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r>
      <t xml:space="preserve">Total electricity &amp; fuels consumption (1+2+3-4), Total Group 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</si>
  <si>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r>
      <rPr>
        <sz val="10"/>
        <rFont val="Tahoma"/>
        <family val="2"/>
        <charset val="204"/>
      </rPr>
      <t>Auditor's fee</t>
    </r>
    <r>
      <rPr>
        <sz val="10"/>
        <color indexed="63"/>
        <rFont val="Tahoma"/>
        <family val="2"/>
        <charset val="204"/>
      </rPr>
      <t xml:space="preserve"> </t>
    </r>
    <r>
      <rPr>
        <b/>
        <vertAlign val="superscript"/>
        <sz val="10"/>
        <color rgb="FFC00000"/>
        <rFont val="Tahoma"/>
        <family val="2"/>
        <charset val="204"/>
      </rPr>
      <t>2</t>
    </r>
  </si>
  <si>
    <r>
      <rPr>
        <b/>
        <i/>
        <vertAlign val="superscript"/>
        <sz val="9"/>
        <color rgb="FFC00000"/>
        <rFont val="Tahoma"/>
        <family val="2"/>
        <charset val="204"/>
      </rPr>
      <t>5</t>
    </r>
    <r>
      <rPr>
        <i/>
        <sz val="9"/>
        <color indexed="63"/>
        <rFont val="Tahoma"/>
        <family val="2"/>
        <charset val="204"/>
      </rPr>
      <t xml:space="preserve"> </t>
    </r>
    <r>
      <rPr>
        <i/>
        <sz val="9"/>
        <rFont val="Tahoma"/>
        <family val="2"/>
        <charset val="204"/>
      </rPr>
      <t>Based on the annual average USD/RUB exchange rate.</t>
    </r>
  </si>
  <si>
    <r>
      <t xml:space="preserve">Environmental expenses </t>
    </r>
    <r>
      <rPr>
        <b/>
        <vertAlign val="superscript"/>
        <sz val="10"/>
        <color rgb="FFC00000"/>
        <rFont val="Tahoma"/>
        <family val="2"/>
        <charset val="204"/>
      </rPr>
      <t>1,5</t>
    </r>
  </si>
  <si>
    <r>
      <rPr>
        <b/>
        <i/>
        <vertAlign val="superscript"/>
        <sz val="9"/>
        <color rgb="FFC00000"/>
        <rFont val="Tahoma"/>
        <family val="2"/>
        <charset val="204"/>
      </rPr>
      <t xml:space="preserve">4 </t>
    </r>
    <r>
      <rPr>
        <i/>
        <sz val="9"/>
        <rFont val="Tahoma"/>
        <family val="2"/>
        <charset val="204"/>
      </rPr>
      <t>Excluding</t>
    </r>
    <r>
      <rPr>
        <i/>
        <sz val="9"/>
        <color indexed="63"/>
        <rFont val="Tahoma"/>
        <family val="2"/>
        <charset val="204"/>
      </rPr>
      <t xml:space="preserve"> water withdrawal from NTEK</t>
    </r>
  </si>
  <si>
    <t xml:space="preserve">per million hours worked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</si>
</sst>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0.0%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10"/>
      <color theme="10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theme="0"/>
      <name val="Tahoma"/>
      <family val="2"/>
      <charset val="204"/>
    </font>
    <font>
      <b/>
      <sz val="12"/>
      <color theme="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63"/>
      <name val="Tahoma"/>
      <family val="2"/>
      <charset val="204"/>
    </font>
    <font>
      <sz val="10"/>
      <name val="Tahoma"/>
      <family val="2"/>
      <charset val="204"/>
    </font>
    <font>
      <i/>
      <sz val="10"/>
      <color indexed="8"/>
      <name val="Tahoma"/>
      <family val="2"/>
      <charset val="204"/>
    </font>
    <font>
      <i/>
      <sz val="10"/>
      <color indexed="63"/>
      <name val="Tahoma"/>
      <family val="2"/>
      <charset val="204"/>
    </font>
    <font>
      <i/>
      <sz val="10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0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u/>
      <sz val="10"/>
      <color rgb="FFFF0000"/>
      <name val="Tahoma"/>
      <family val="2"/>
      <charset val="204"/>
    </font>
    <font>
      <sz val="16"/>
      <name val="Tahoma"/>
      <family val="2"/>
      <charset val="204"/>
    </font>
    <font>
      <b/>
      <sz val="18"/>
      <color theme="1" tint="0.34998626667073579"/>
      <name val="Tahoma"/>
      <family val="2"/>
      <charset val="204"/>
    </font>
    <font>
      <b/>
      <sz val="12"/>
      <color rgb="FF595959"/>
      <name val="Tahoma"/>
      <family val="2"/>
      <charset val="204"/>
    </font>
    <font>
      <sz val="12"/>
      <color rgb="FF767171"/>
      <name val="Tahoma"/>
      <family val="2"/>
      <charset val="204"/>
    </font>
    <font>
      <u/>
      <sz val="12"/>
      <color rgb="FF2E75B6"/>
      <name val="Tahoma"/>
      <family val="2"/>
      <charset val="204"/>
    </font>
    <font>
      <sz val="12"/>
      <color theme="1" tint="0.34998626667073579"/>
      <name val="Tahoma"/>
      <family val="2"/>
      <charset val="204"/>
    </font>
    <font>
      <u/>
      <sz val="12"/>
      <color theme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sz val="10"/>
      <color rgb="FF2175C1"/>
      <name val="Tahoma"/>
      <family val="2"/>
      <charset val="204"/>
    </font>
    <font>
      <sz val="10"/>
      <color rgb="FF2175C1"/>
      <name val="Arial"/>
      <family val="2"/>
      <charset val="204"/>
    </font>
    <font>
      <b/>
      <sz val="12"/>
      <name val="Tahoma"/>
      <family val="2"/>
      <charset val="204"/>
    </font>
    <font>
      <b/>
      <vertAlign val="superscript"/>
      <sz val="10"/>
      <color rgb="FFC00000"/>
      <name val="Tahoma"/>
      <family val="2"/>
      <charset val="204"/>
    </font>
    <font>
      <b/>
      <sz val="10"/>
      <color rgb="FFC00000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indexed="63"/>
      <name val="Tahoma"/>
      <family val="2"/>
      <charset val="204"/>
    </font>
    <font>
      <b/>
      <i/>
      <vertAlign val="superscript"/>
      <sz val="9"/>
      <color rgb="FFC00000"/>
      <name val="Tahoma"/>
      <family val="2"/>
      <charset val="204"/>
    </font>
    <font>
      <i/>
      <sz val="9"/>
      <color theme="1"/>
      <name val="Tahoma"/>
      <family val="2"/>
      <charset val="204"/>
    </font>
    <font>
      <i/>
      <sz val="9"/>
      <color indexed="8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i/>
      <vertAlign val="subscript"/>
      <sz val="10"/>
      <color indexed="8"/>
      <name val="Tahoma"/>
      <family val="2"/>
      <charset val="204"/>
    </font>
    <font>
      <i/>
      <sz val="10"/>
      <name val="Tahoma"/>
      <family val="2"/>
      <charset val="204"/>
    </font>
    <font>
      <i/>
      <sz val="11"/>
      <name val="Calibri"/>
      <family val="2"/>
      <charset val="204"/>
      <scheme val="minor"/>
    </font>
    <font>
      <i/>
      <vertAlign val="subscript"/>
      <sz val="10"/>
      <name val="Tahoma"/>
      <family val="2"/>
      <charset val="204"/>
    </font>
    <font>
      <i/>
      <vertAlign val="superscript"/>
      <sz val="10"/>
      <color theme="1"/>
      <name val="Tahoma"/>
      <family val="2"/>
      <charset val="204"/>
    </font>
    <font>
      <i/>
      <vertAlign val="subscript"/>
      <sz val="10"/>
      <color theme="1"/>
      <name val="Tahoma"/>
      <family val="2"/>
      <charset val="204"/>
    </font>
    <font>
      <i/>
      <sz val="9"/>
      <color theme="1"/>
      <name val="Calibri"/>
      <family val="2"/>
      <charset val="204"/>
      <scheme val="minor"/>
    </font>
    <font>
      <i/>
      <sz val="9"/>
      <name val="Tahoma"/>
      <family val="2"/>
      <charset val="204"/>
    </font>
    <font>
      <vertAlign val="superscript"/>
      <sz val="10"/>
      <name val="Tahoma"/>
      <family val="2"/>
      <charset val="204"/>
    </font>
    <font>
      <i/>
      <vertAlign val="superscript"/>
      <sz val="1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3" borderId="0" applyNumberFormat="0" applyBorder="0" applyProtection="0">
      <alignment horizontal="center"/>
    </xf>
    <xf numFmtId="0" fontId="3" fillId="3" borderId="1"/>
    <xf numFmtId="164" fontId="4" fillId="3" borderId="2">
      <alignment horizontal="right"/>
    </xf>
    <xf numFmtId="0" fontId="5" fillId="3" borderId="1"/>
    <xf numFmtId="164" fontId="5" fillId="3" borderId="2">
      <alignment horizontal="right"/>
    </xf>
    <xf numFmtId="3" fontId="4" fillId="3" borderId="2">
      <alignment horizontal="right"/>
    </xf>
    <xf numFmtId="0" fontId="6" fillId="0" borderId="0" applyNumberFormat="0" applyFill="0" applyBorder="0" applyAlignment="0" applyProtection="0"/>
    <xf numFmtId="0" fontId="7" fillId="0" borderId="0"/>
    <xf numFmtId="9" fontId="21" fillId="0" borderId="0" applyFont="0" applyFill="0" applyBorder="0" applyAlignment="0" applyProtection="0"/>
  </cellStyleXfs>
  <cellXfs count="436">
    <xf numFmtId="0" fontId="0" fillId="0" borderId="0" xfId="0"/>
    <xf numFmtId="0" fontId="0" fillId="2" borderId="0" xfId="0" applyFill="1"/>
    <xf numFmtId="164" fontId="4" fillId="3" borderId="0" xfId="4" applyNumberFormat="1" applyFont="1" applyFill="1" applyBorder="1" applyAlignment="1" applyProtection="1">
      <alignment horizontal="right"/>
    </xf>
    <xf numFmtId="0" fontId="1" fillId="2" borderId="0" xfId="1" applyFill="1"/>
    <xf numFmtId="0" fontId="8" fillId="2" borderId="0" xfId="0" applyFont="1" applyFill="1"/>
    <xf numFmtId="0" fontId="9" fillId="2" borderId="0" xfId="0" applyFont="1" applyFill="1"/>
    <xf numFmtId="0" fontId="0" fillId="0" borderId="0" xfId="0" applyFill="1"/>
    <xf numFmtId="0" fontId="12" fillId="4" borderId="0" xfId="1" applyFont="1" applyFill="1" applyAlignment="1">
      <alignment horizontal="center"/>
    </xf>
    <xf numFmtId="0" fontId="16" fillId="3" borderId="0" xfId="3" applyNumberFormat="1" applyFont="1" applyFill="1" applyBorder="1" applyAlignment="1" applyProtection="1"/>
    <xf numFmtId="164" fontId="15" fillId="3" borderId="0" xfId="4" applyNumberFormat="1" applyFont="1" applyFill="1" applyBorder="1" applyAlignment="1" applyProtection="1">
      <alignment horizontal="right"/>
    </xf>
    <xf numFmtId="165" fontId="8" fillId="2" borderId="2" xfId="0" applyNumberFormat="1" applyFont="1" applyFill="1" applyBorder="1"/>
    <xf numFmtId="0" fontId="8" fillId="0" borderId="0" xfId="0" applyFont="1" applyFill="1"/>
    <xf numFmtId="165" fontId="8" fillId="2" borderId="0" xfId="0" applyNumberFormat="1" applyFont="1" applyFill="1" applyBorder="1"/>
    <xf numFmtId="165" fontId="8" fillId="2" borderId="4" xfId="0" applyNumberFormat="1" applyFont="1" applyFill="1" applyBorder="1"/>
    <xf numFmtId="0" fontId="8" fillId="2" borderId="0" xfId="0" applyFont="1" applyFill="1" applyBorder="1"/>
    <xf numFmtId="0" fontId="8" fillId="0" borderId="0" xfId="0" applyFont="1"/>
    <xf numFmtId="0" fontId="0" fillId="0" borderId="0" xfId="0" applyFill="1" applyBorder="1"/>
    <xf numFmtId="0" fontId="0" fillId="2" borderId="4" xfId="0" applyFill="1" applyBorder="1"/>
    <xf numFmtId="164" fontId="4" fillId="3" borderId="4" xfId="4" applyNumberFormat="1" applyFont="1" applyFill="1" applyBorder="1" applyAlignment="1" applyProtection="1">
      <alignment horizontal="right"/>
    </xf>
    <xf numFmtId="164" fontId="15" fillId="3" borderId="4" xfId="4" applyNumberFormat="1" applyFont="1" applyFill="1" applyBorder="1" applyAlignment="1" applyProtection="1">
      <alignment horizontal="right"/>
    </xf>
    <xf numFmtId="0" fontId="22" fillId="2" borderId="0" xfId="0" applyFont="1" applyFill="1" applyAlignment="1">
      <alignment horizontal="right"/>
    </xf>
    <xf numFmtId="0" fontId="20" fillId="2" borderId="0" xfId="0" applyFont="1" applyFill="1"/>
    <xf numFmtId="3" fontId="15" fillId="3" borderId="4" xfId="7" applyNumberFormat="1" applyFont="1" applyFill="1" applyBorder="1" applyAlignment="1" applyProtection="1">
      <alignment horizontal="right"/>
    </xf>
    <xf numFmtId="0" fontId="8" fillId="0" borderId="0" xfId="9" applyFont="1"/>
    <xf numFmtId="0" fontId="8" fillId="0" borderId="0" xfId="9" applyFont="1" applyFill="1"/>
    <xf numFmtId="3" fontId="8" fillId="2" borderId="4" xfId="0" applyNumberFormat="1" applyFont="1" applyFill="1" applyBorder="1"/>
    <xf numFmtId="3" fontId="8" fillId="2" borderId="2" xfId="0" applyNumberFormat="1" applyFont="1" applyFill="1" applyBorder="1"/>
    <xf numFmtId="0" fontId="12" fillId="4" borderId="0" xfId="1" applyFont="1" applyFill="1" applyBorder="1" applyAlignment="1">
      <alignment horizontal="center"/>
    </xf>
    <xf numFmtId="0" fontId="15" fillId="3" borderId="9" xfId="5" applyNumberFormat="1" applyFont="1" applyFill="1" applyBorder="1" applyAlignment="1" applyProtection="1"/>
    <xf numFmtId="0" fontId="15" fillId="3" borderId="9" xfId="5" applyNumberFormat="1" applyFont="1" applyFill="1" applyBorder="1" applyAlignment="1" applyProtection="1">
      <alignment horizontal="left"/>
    </xf>
    <xf numFmtId="0" fontId="15" fillId="3" borderId="10" xfId="5" applyNumberFormat="1" applyFont="1" applyFill="1" applyBorder="1" applyAlignment="1" applyProtection="1">
      <alignment horizontal="left"/>
    </xf>
    <xf numFmtId="0" fontId="16" fillId="3" borderId="10" xfId="3" applyNumberFormat="1" applyFont="1" applyFill="1" applyBorder="1" applyAlignment="1" applyProtection="1">
      <alignment horizontal="center"/>
    </xf>
    <xf numFmtId="0" fontId="16" fillId="3" borderId="11" xfId="3" applyNumberFormat="1" applyFont="1" applyFill="1" applyBorder="1" applyAlignment="1" applyProtection="1">
      <alignment horizontal="center"/>
    </xf>
    <xf numFmtId="3" fontId="8" fillId="2" borderId="4" xfId="0" applyNumberFormat="1" applyFont="1" applyFill="1" applyBorder="1" applyAlignment="1">
      <alignment horizontal="right"/>
    </xf>
    <xf numFmtId="0" fontId="9" fillId="5" borderId="0" xfId="3" applyNumberFormat="1" applyFont="1" applyFill="1" applyBorder="1" applyAlignment="1" applyProtection="1"/>
    <xf numFmtId="0" fontId="9" fillId="5" borderId="4" xfId="3" applyNumberFormat="1" applyFont="1" applyFill="1" applyBorder="1" applyAlignment="1" applyProtection="1"/>
    <xf numFmtId="0" fontId="8" fillId="2" borderId="4" xfId="9" applyFont="1" applyFill="1" applyBorder="1"/>
    <xf numFmtId="0" fontId="20" fillId="2" borderId="4" xfId="9" applyFont="1" applyFill="1" applyBorder="1"/>
    <xf numFmtId="0" fontId="8" fillId="0" borderId="4" xfId="9" applyFont="1" applyBorder="1"/>
    <xf numFmtId="3" fontId="15" fillId="3" borderId="2" xfId="7" applyNumberFormat="1" applyFont="1" applyFill="1" applyBorder="1" applyAlignment="1" applyProtection="1">
      <alignment horizontal="right"/>
    </xf>
    <xf numFmtId="0" fontId="16" fillId="3" borderId="9" xfId="3" applyNumberFormat="1" applyFont="1" applyFill="1" applyBorder="1" applyAlignment="1" applyProtection="1"/>
    <xf numFmtId="165" fontId="8" fillId="0" borderId="4" xfId="0" applyNumberFormat="1" applyFont="1" applyFill="1" applyBorder="1"/>
    <xf numFmtId="3" fontId="15" fillId="2" borderId="2" xfId="6" applyNumberFormat="1" applyFont="1" applyFill="1" applyBorder="1" applyAlignment="1" applyProtection="1">
      <alignment horizontal="right"/>
    </xf>
    <xf numFmtId="3" fontId="15" fillId="2" borderId="4" xfId="6" applyNumberFormat="1" applyFont="1" applyFill="1" applyBorder="1" applyAlignment="1" applyProtection="1">
      <alignment horizontal="right"/>
    </xf>
    <xf numFmtId="4" fontId="8" fillId="2" borderId="4" xfId="0" applyNumberFormat="1" applyFont="1" applyFill="1" applyBorder="1" applyAlignment="1">
      <alignment horizontal="right"/>
    </xf>
    <xf numFmtId="0" fontId="9" fillId="5" borderId="9" xfId="5" applyNumberFormat="1" applyFont="1" applyFill="1" applyBorder="1" applyAlignment="1" applyProtection="1"/>
    <xf numFmtId="0" fontId="9" fillId="5" borderId="10" xfId="3" applyNumberFormat="1" applyFont="1" applyFill="1" applyBorder="1" applyAlignment="1" applyProtection="1"/>
    <xf numFmtId="0" fontId="12" fillId="4" borderId="0" xfId="1" applyFont="1" applyFill="1" applyBorder="1" applyAlignment="1">
      <alignment horizontal="left"/>
    </xf>
    <xf numFmtId="0" fontId="9" fillId="5" borderId="11" xfId="3" applyNumberFormat="1" applyFont="1" applyFill="1" applyBorder="1" applyAlignment="1" applyProtection="1"/>
    <xf numFmtId="0" fontId="8" fillId="0" borderId="0" xfId="9" applyFont="1" applyBorder="1"/>
    <xf numFmtId="9" fontId="20" fillId="0" borderId="4" xfId="9" applyNumberFormat="1" applyFont="1" applyBorder="1"/>
    <xf numFmtId="0" fontId="8" fillId="0" borderId="12" xfId="9" applyFont="1" applyBorder="1"/>
    <xf numFmtId="9" fontId="8" fillId="2" borderId="4" xfId="10" applyFont="1" applyFill="1" applyBorder="1" applyAlignment="1">
      <alignment horizontal="right"/>
    </xf>
    <xf numFmtId="9" fontId="8" fillId="0" borderId="4" xfId="9" applyNumberFormat="1" applyFont="1" applyBorder="1" applyAlignment="1">
      <alignment horizontal="right"/>
    </xf>
    <xf numFmtId="0" fontId="17" fillId="2" borderId="4" xfId="2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8" fillId="2" borderId="4" xfId="9" applyFont="1" applyFill="1" applyBorder="1" applyAlignment="1">
      <alignment horizontal="right"/>
    </xf>
    <xf numFmtId="0" fontId="15" fillId="0" borderId="9" xfId="5" applyNumberFormat="1" applyFont="1" applyFill="1" applyBorder="1" applyAlignment="1" applyProtection="1">
      <alignment horizontal="left"/>
    </xf>
    <xf numFmtId="9" fontId="8" fillId="0" borderId="2" xfId="9" applyNumberFormat="1" applyFont="1" applyBorder="1" applyAlignment="1">
      <alignment horizontal="right"/>
    </xf>
    <xf numFmtId="0" fontId="17" fillId="2" borderId="2" xfId="2" applyFont="1" applyFill="1" applyBorder="1" applyAlignment="1">
      <alignment horizontal="right"/>
    </xf>
    <xf numFmtId="0" fontId="17" fillId="2" borderId="12" xfId="2" applyFont="1" applyFill="1" applyBorder="1" applyAlignment="1">
      <alignment horizontal="right"/>
    </xf>
    <xf numFmtId="9" fontId="8" fillId="0" borderId="12" xfId="9" applyNumberFormat="1" applyFont="1" applyBorder="1" applyAlignment="1">
      <alignment horizontal="right"/>
    </xf>
    <xf numFmtId="0" fontId="12" fillId="4" borderId="1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9" fillId="5" borderId="10" xfId="5" applyNumberFormat="1" applyFont="1" applyFill="1" applyBorder="1" applyAlignment="1" applyProtection="1"/>
    <xf numFmtId="0" fontId="8" fillId="2" borderId="4" xfId="0" applyFont="1" applyFill="1" applyBorder="1"/>
    <xf numFmtId="9" fontId="8" fillId="0" borderId="4" xfId="9" applyNumberFormat="1" applyFont="1" applyBorder="1"/>
    <xf numFmtId="0" fontId="15" fillId="0" borderId="10" xfId="5" applyNumberFormat="1" applyFont="1" applyFill="1" applyBorder="1" applyAlignment="1" applyProtection="1"/>
    <xf numFmtId="0" fontId="15" fillId="3" borderId="0" xfId="5" applyNumberFormat="1" applyFont="1" applyFill="1" applyBorder="1" applyAlignment="1" applyProtection="1">
      <alignment horizontal="left"/>
    </xf>
    <xf numFmtId="0" fontId="8" fillId="0" borderId="10" xfId="9" applyFont="1" applyBorder="1" applyAlignment="1">
      <alignment horizontal="center"/>
    </xf>
    <xf numFmtId="0" fontId="20" fillId="0" borderId="10" xfId="9" applyFont="1" applyBorder="1" applyAlignment="1">
      <alignment horizontal="center"/>
    </xf>
    <xf numFmtId="0" fontId="8" fillId="2" borderId="10" xfId="9" applyFont="1" applyFill="1" applyBorder="1" applyAlignment="1">
      <alignment horizontal="center"/>
    </xf>
    <xf numFmtId="0" fontId="17" fillId="2" borderId="10" xfId="2" applyFont="1" applyFill="1" applyBorder="1" applyAlignment="1">
      <alignment horizontal="center"/>
    </xf>
    <xf numFmtId="0" fontId="8" fillId="0" borderId="9" xfId="9" applyFont="1" applyBorder="1"/>
    <xf numFmtId="0" fontId="20" fillId="0" borderId="9" xfId="9" applyFont="1" applyBorder="1"/>
    <xf numFmtId="0" fontId="20" fillId="2" borderId="9" xfId="9" applyFont="1" applyFill="1" applyBorder="1"/>
    <xf numFmtId="0" fontId="8" fillId="2" borderId="9" xfId="9" applyFont="1" applyFill="1" applyBorder="1"/>
    <xf numFmtId="0" fontId="8" fillId="2" borderId="9" xfId="9" applyFont="1" applyFill="1" applyBorder="1" applyAlignment="1">
      <alignment horizontal="left"/>
    </xf>
    <xf numFmtId="0" fontId="8" fillId="0" borderId="4" xfId="9" applyFont="1" applyFill="1" applyBorder="1"/>
    <xf numFmtId="0" fontId="0" fillId="2" borderId="0" xfId="0" applyFill="1" applyBorder="1"/>
    <xf numFmtId="0" fontId="0" fillId="0" borderId="0" xfId="0" applyBorder="1"/>
    <xf numFmtId="0" fontId="15" fillId="3" borderId="10" xfId="5" applyNumberFormat="1" applyFont="1" applyFill="1" applyBorder="1" applyAlignment="1" applyProtection="1"/>
    <xf numFmtId="0" fontId="23" fillId="0" borderId="0" xfId="0" applyFont="1" applyFill="1"/>
    <xf numFmtId="0" fontId="17" fillId="0" borderId="10" xfId="5" applyNumberFormat="1" applyFont="1" applyFill="1" applyBorder="1" applyAlignment="1" applyProtection="1">
      <alignment horizontal="left"/>
    </xf>
    <xf numFmtId="0" fontId="17" fillId="0" borderId="11" xfId="3" applyNumberFormat="1" applyFont="1" applyFill="1" applyBorder="1" applyAlignment="1" applyProtection="1">
      <alignment horizontal="center"/>
    </xf>
    <xf numFmtId="0" fontId="16" fillId="0" borderId="0" xfId="3" applyNumberFormat="1" applyFont="1" applyFill="1" applyBorder="1" applyAlignment="1" applyProtection="1">
      <alignment horizontal="center"/>
    </xf>
    <xf numFmtId="165" fontId="8" fillId="2" borderId="1" xfId="0" applyNumberFormat="1" applyFont="1" applyFill="1" applyBorder="1"/>
    <xf numFmtId="3" fontId="8" fillId="2" borderId="0" xfId="0" applyNumberFormat="1" applyFont="1" applyFill="1" applyBorder="1"/>
    <xf numFmtId="0" fontId="18" fillId="3" borderId="9" xfId="5" applyNumberFormat="1" applyFont="1" applyFill="1" applyBorder="1" applyAlignment="1" applyProtection="1">
      <alignment horizontal="left"/>
    </xf>
    <xf numFmtId="3" fontId="20" fillId="2" borderId="4" xfId="0" applyNumberFormat="1" applyFont="1" applyFill="1" applyBorder="1"/>
    <xf numFmtId="3" fontId="20" fillId="0" borderId="4" xfId="0" applyNumberFormat="1" applyFont="1" applyFill="1" applyBorder="1"/>
    <xf numFmtId="3" fontId="20" fillId="2" borderId="2" xfId="0" applyNumberFormat="1" applyFont="1" applyFill="1" applyBorder="1" applyAlignment="1">
      <alignment horizontal="right"/>
    </xf>
    <xf numFmtId="3" fontId="20" fillId="0" borderId="4" xfId="0" applyNumberFormat="1" applyFont="1" applyFill="1" applyBorder="1" applyAlignment="1">
      <alignment horizontal="right"/>
    </xf>
    <xf numFmtId="0" fontId="12" fillId="4" borderId="8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/>
    </xf>
    <xf numFmtId="0" fontId="12" fillId="4" borderId="0" xfId="1" applyFont="1" applyFill="1" applyBorder="1" applyAlignment="1">
      <alignment horizontal="center" wrapText="1"/>
    </xf>
    <xf numFmtId="4" fontId="15" fillId="3" borderId="17" xfId="4" applyNumberFormat="1" applyFont="1" applyFill="1" applyBorder="1" applyAlignment="1" applyProtection="1">
      <alignment horizontal="right"/>
    </xf>
    <xf numFmtId="0" fontId="8" fillId="0" borderId="10" xfId="9" quotePrefix="1" applyFont="1" applyBorder="1" applyAlignment="1">
      <alignment horizontal="center"/>
    </xf>
    <xf numFmtId="0" fontId="22" fillId="2" borderId="0" xfId="0" applyFont="1" applyFill="1"/>
    <xf numFmtId="0" fontId="25" fillId="0" borderId="0" xfId="0" applyFont="1"/>
    <xf numFmtId="0" fontId="15" fillId="2" borderId="10" xfId="5" applyNumberFormat="1" applyFont="1" applyFill="1" applyBorder="1" applyAlignment="1" applyProtection="1">
      <alignment horizontal="left"/>
    </xf>
    <xf numFmtId="0" fontId="17" fillId="0" borderId="13" xfId="3" applyNumberFormat="1" applyFont="1" applyFill="1" applyBorder="1" applyAlignment="1" applyProtection="1"/>
    <xf numFmtId="0" fontId="1" fillId="0" borderId="0" xfId="1" applyFill="1"/>
    <xf numFmtId="0" fontId="11" fillId="4" borderId="0" xfId="1" applyFont="1" applyFill="1"/>
    <xf numFmtId="0" fontId="8" fillId="2" borderId="13" xfId="9" applyFont="1" applyFill="1" applyBorder="1"/>
    <xf numFmtId="0" fontId="8" fillId="2" borderId="18" xfId="9" applyFont="1" applyFill="1" applyBorder="1" applyAlignment="1">
      <alignment horizontal="center"/>
    </xf>
    <xf numFmtId="3" fontId="15" fillId="3" borderId="5" xfId="7" applyNumberFormat="1" applyFont="1" applyFill="1" applyBorder="1" applyAlignment="1" applyProtection="1">
      <alignment horizontal="right"/>
    </xf>
    <xf numFmtId="3" fontId="15" fillId="3" borderId="3" xfId="7" applyNumberFormat="1" applyFont="1" applyFill="1" applyBorder="1" applyAlignment="1" applyProtection="1">
      <alignment horizontal="right"/>
    </xf>
    <xf numFmtId="0" fontId="8" fillId="2" borderId="0" xfId="9" applyFont="1" applyFill="1" applyBorder="1"/>
    <xf numFmtId="0" fontId="8" fillId="2" borderId="0" xfId="9" applyFont="1" applyFill="1" applyBorder="1" applyAlignment="1">
      <alignment horizontal="center"/>
    </xf>
    <xf numFmtId="3" fontId="15" fillId="3" borderId="0" xfId="7" applyNumberFormat="1" applyFont="1" applyFill="1" applyBorder="1" applyAlignment="1" applyProtection="1">
      <alignment horizontal="right"/>
    </xf>
    <xf numFmtId="0" fontId="16" fillId="0" borderId="9" xfId="3" applyNumberFormat="1" applyFont="1" applyFill="1" applyBorder="1" applyAlignment="1" applyProtection="1"/>
    <xf numFmtId="3" fontId="17" fillId="0" borderId="12" xfId="1" applyNumberFormat="1" applyFont="1" applyFill="1" applyBorder="1" applyAlignment="1">
      <alignment horizontal="right"/>
    </xf>
    <xf numFmtId="3" fontId="17" fillId="0" borderId="4" xfId="1" applyNumberFormat="1" applyFont="1" applyFill="1" applyBorder="1" applyAlignment="1">
      <alignment horizontal="right"/>
    </xf>
    <xf numFmtId="3" fontId="15" fillId="0" borderId="11" xfId="7" applyNumberFormat="1" applyFont="1" applyFill="1" applyBorder="1" applyAlignment="1" applyProtection="1">
      <alignment horizontal="center"/>
    </xf>
    <xf numFmtId="9" fontId="15" fillId="0" borderId="12" xfId="10" applyFont="1" applyFill="1" applyBorder="1" applyAlignment="1" applyProtection="1">
      <alignment horizontal="right"/>
    </xf>
    <xf numFmtId="9" fontId="15" fillId="0" borderId="2" xfId="10" applyFont="1" applyFill="1" applyBorder="1" applyAlignment="1" applyProtection="1">
      <alignment horizontal="right"/>
    </xf>
    <xf numFmtId="9" fontId="8" fillId="0" borderId="2" xfId="10" applyFont="1" applyFill="1" applyBorder="1"/>
    <xf numFmtId="0" fontId="17" fillId="0" borderId="0" xfId="3" applyNumberFormat="1" applyFont="1" applyFill="1" applyBorder="1" applyAlignment="1" applyProtection="1"/>
    <xf numFmtId="0" fontId="17" fillId="0" borderId="14" xfId="3" applyNumberFormat="1" applyFont="1" applyFill="1" applyBorder="1" applyAlignment="1" applyProtection="1">
      <alignment horizontal="center"/>
    </xf>
    <xf numFmtId="0" fontId="17" fillId="0" borderId="0" xfId="1" applyFont="1" applyFill="1" applyBorder="1" applyAlignment="1">
      <alignment horizontal="center"/>
    </xf>
    <xf numFmtId="4" fontId="15" fillId="3" borderId="0" xfId="4" applyNumberFormat="1" applyFont="1" applyFill="1" applyBorder="1" applyAlignment="1" applyProtection="1">
      <alignment horizontal="right"/>
    </xf>
    <xf numFmtId="4" fontId="15" fillId="3" borderId="19" xfId="4" applyNumberFormat="1" applyFont="1" applyFill="1" applyBorder="1" applyAlignment="1" applyProtection="1">
      <alignment horizontal="right"/>
    </xf>
    <xf numFmtId="4" fontId="15" fillId="3" borderId="3" xfId="4" applyNumberFormat="1" applyFont="1" applyFill="1" applyBorder="1" applyAlignment="1" applyProtection="1">
      <alignment horizontal="right"/>
    </xf>
    <xf numFmtId="0" fontId="8" fillId="0" borderId="0" xfId="9" applyFont="1" applyFill="1" applyBorder="1"/>
    <xf numFmtId="0" fontId="17" fillId="0" borderId="18" xfId="3" applyNumberFormat="1" applyFont="1" applyFill="1" applyBorder="1" applyAlignment="1" applyProtection="1"/>
    <xf numFmtId="0" fontId="17" fillId="2" borderId="0" xfId="1" applyFont="1" applyFill="1"/>
    <xf numFmtId="0" fontId="28" fillId="2" borderId="0" xfId="1" applyFont="1" applyFill="1"/>
    <xf numFmtId="0" fontId="29" fillId="2" borderId="0" xfId="1" applyFont="1" applyFill="1"/>
    <xf numFmtId="0" fontId="30" fillId="0" borderId="0" xfId="0" applyFont="1"/>
    <xf numFmtId="0" fontId="31" fillId="0" borderId="0" xfId="0" applyFont="1"/>
    <xf numFmtId="0" fontId="33" fillId="2" borderId="0" xfId="1" applyFont="1" applyFill="1"/>
    <xf numFmtId="0" fontId="24" fillId="2" borderId="0" xfId="1" applyFont="1" applyFill="1"/>
    <xf numFmtId="49" fontId="17" fillId="2" borderId="0" xfId="1" applyNumberFormat="1" applyFont="1" applyFill="1"/>
    <xf numFmtId="0" fontId="36" fillId="0" borderId="0" xfId="0" applyFont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7" fillId="4" borderId="0" xfId="1" applyFont="1" applyFill="1"/>
    <xf numFmtId="0" fontId="38" fillId="4" borderId="0" xfId="1" applyFont="1" applyFill="1"/>
    <xf numFmtId="0" fontId="35" fillId="2" borderId="0" xfId="0" applyFont="1" applyFill="1" applyBorder="1" applyAlignment="1">
      <alignment horizontal="right" vertical="center" wrapText="1"/>
    </xf>
    <xf numFmtId="0" fontId="36" fillId="2" borderId="0" xfId="0" applyFont="1" applyFill="1" applyAlignment="1">
      <alignment horizontal="right" vertical="center" wrapText="1"/>
    </xf>
    <xf numFmtId="0" fontId="36" fillId="2" borderId="0" xfId="0" applyFont="1" applyFill="1" applyBorder="1" applyAlignment="1">
      <alignment horizontal="right" vertical="center" wrapText="1"/>
    </xf>
    <xf numFmtId="0" fontId="11" fillId="4" borderId="0" xfId="1" applyFont="1" applyFill="1" applyBorder="1"/>
    <xf numFmtId="0" fontId="17" fillId="0" borderId="0" xfId="1" applyFont="1" applyFill="1"/>
    <xf numFmtId="0" fontId="17" fillId="2" borderId="0" xfId="1" applyFont="1" applyFill="1" applyBorder="1"/>
    <xf numFmtId="0" fontId="0" fillId="0" borderId="0" xfId="0" applyAlignment="1">
      <alignment horizontal="left"/>
    </xf>
    <xf numFmtId="0" fontId="25" fillId="0" borderId="0" xfId="0" applyFont="1" applyAlignment="1">
      <alignment horizontal="right"/>
    </xf>
    <xf numFmtId="0" fontId="12" fillId="4" borderId="0" xfId="1" applyFont="1" applyFill="1" applyBorder="1" applyAlignment="1">
      <alignment horizontal="left"/>
    </xf>
    <xf numFmtId="1" fontId="8" fillId="2" borderId="4" xfId="0" applyNumberFormat="1" applyFont="1" applyFill="1" applyBorder="1"/>
    <xf numFmtId="0" fontId="39" fillId="2" borderId="0" xfId="1" applyFont="1" applyFill="1"/>
    <xf numFmtId="0" fontId="0" fillId="0" borderId="0" xfId="0" applyFont="1"/>
    <xf numFmtId="0" fontId="6" fillId="2" borderId="0" xfId="8" applyFill="1" applyBorder="1" applyAlignment="1">
      <alignment wrapText="1"/>
    </xf>
    <xf numFmtId="0" fontId="24" fillId="0" borderId="0" xfId="1" applyFont="1" applyFill="1" applyBorder="1" applyAlignment="1">
      <alignment horizontal="left"/>
    </xf>
    <xf numFmtId="0" fontId="10" fillId="0" borderId="0" xfId="8" applyNumberFormat="1" applyFont="1" applyFill="1" applyBorder="1" applyAlignment="1" applyProtection="1"/>
    <xf numFmtId="0" fontId="10" fillId="0" borderId="0" xfId="8" applyFont="1" applyFill="1" applyBorder="1" applyAlignment="1">
      <alignment wrapText="1"/>
    </xf>
    <xf numFmtId="0" fontId="8" fillId="0" borderId="0" xfId="0" applyFont="1" applyBorder="1"/>
    <xf numFmtId="0" fontId="10" fillId="3" borderId="0" xfId="8" applyNumberFormat="1" applyFont="1" applyFill="1" applyBorder="1" applyAlignment="1" applyProtection="1"/>
    <xf numFmtId="0" fontId="19" fillId="0" borderId="0" xfId="3" applyNumberFormat="1" applyFont="1" applyFill="1" applyBorder="1" applyAlignment="1" applyProtection="1"/>
    <xf numFmtId="164" fontId="18" fillId="0" borderId="0" xfId="4" applyNumberFormat="1" applyFont="1" applyFill="1" applyBorder="1" applyAlignment="1" applyProtection="1">
      <alignment horizontal="right"/>
    </xf>
    <xf numFmtId="0" fontId="20" fillId="0" borderId="0" xfId="0" applyFont="1"/>
    <xf numFmtId="0" fontId="9" fillId="0" borderId="6" xfId="5" applyNumberFormat="1" applyFont="1" applyFill="1" applyBorder="1" applyAlignment="1" applyProtection="1">
      <alignment horizontal="center"/>
    </xf>
    <xf numFmtId="0" fontId="9" fillId="0" borderId="6" xfId="3" applyNumberFormat="1" applyFont="1" applyFill="1" applyBorder="1" applyAlignment="1" applyProtection="1">
      <alignment horizontal="center" wrapText="1"/>
    </xf>
    <xf numFmtId="0" fontId="16" fillId="3" borderId="0" xfId="3" applyNumberFormat="1" applyFont="1" applyFill="1" applyBorder="1" applyAlignment="1" applyProtection="1">
      <alignment horizontal="center" wrapText="1"/>
    </xf>
    <xf numFmtId="164" fontId="15" fillId="3" borderId="0" xfId="4" applyNumberFormat="1" applyFont="1" applyFill="1" applyBorder="1" applyAlignment="1" applyProtection="1">
      <alignment horizontal="left" wrapText="1"/>
    </xf>
    <xf numFmtId="164" fontId="15" fillId="3" borderId="0" xfId="4" applyNumberFormat="1" applyFont="1" applyFill="1" applyBorder="1" applyAlignment="1" applyProtection="1">
      <alignment horizontal="left"/>
    </xf>
    <xf numFmtId="0" fontId="20" fillId="0" borderId="0" xfId="9" applyFont="1" applyFill="1"/>
    <xf numFmtId="0" fontId="20" fillId="0" borderId="0" xfId="9" applyFont="1"/>
    <xf numFmtId="3" fontId="20" fillId="0" borderId="0" xfId="9" applyNumberFormat="1" applyFont="1"/>
    <xf numFmtId="0" fontId="8" fillId="2" borderId="0" xfId="9" applyFont="1" applyFill="1" applyBorder="1" applyAlignment="1">
      <alignment horizontal="left"/>
    </xf>
    <xf numFmtId="0" fontId="10" fillId="2" borderId="0" xfId="8" applyNumberFormat="1" applyFont="1" applyFill="1" applyBorder="1" applyAlignment="1" applyProtection="1"/>
    <xf numFmtId="0" fontId="10" fillId="2" borderId="0" xfId="8" applyFont="1" applyFill="1" applyBorder="1"/>
    <xf numFmtId="0" fontId="10" fillId="2" borderId="0" xfId="8" applyFont="1" applyFill="1" applyBorder="1" applyAlignment="1">
      <alignment horizontal="left"/>
    </xf>
    <xf numFmtId="0" fontId="12" fillId="4" borderId="0" xfId="1" applyFont="1" applyFill="1" applyBorder="1" applyAlignment="1">
      <alignment horizontal="center"/>
    </xf>
    <xf numFmtId="0" fontId="17" fillId="0" borderId="0" xfId="3" applyNumberFormat="1" applyFont="1" applyFill="1" applyBorder="1" applyAlignment="1" applyProtection="1">
      <alignment horizontal="center"/>
    </xf>
    <xf numFmtId="164" fontId="17" fillId="0" borderId="0" xfId="4" applyNumberFormat="1" applyFont="1" applyFill="1" applyBorder="1" applyAlignment="1" applyProtection="1">
      <alignment horizontal="right"/>
    </xf>
    <xf numFmtId="165" fontId="17" fillId="0" borderId="0" xfId="0" applyNumberFormat="1" applyFont="1" applyFill="1" applyBorder="1" applyAlignment="1">
      <alignment horizontal="right"/>
    </xf>
    <xf numFmtId="0" fontId="12" fillId="4" borderId="4" xfId="1" applyFont="1" applyFill="1" applyBorder="1" applyAlignment="1">
      <alignment horizontal="center"/>
    </xf>
    <xf numFmtId="0" fontId="12" fillId="4" borderId="10" xfId="1" applyFont="1" applyFill="1" applyBorder="1" applyAlignment="1">
      <alignment horizontal="center"/>
    </xf>
    <xf numFmtId="0" fontId="17" fillId="0" borderId="10" xfId="3" applyNumberFormat="1" applyFont="1" applyFill="1" applyBorder="1" applyAlignment="1" applyProtection="1">
      <alignment horizontal="center"/>
    </xf>
    <xf numFmtId="0" fontId="12" fillId="4" borderId="10" xfId="1" applyFont="1" applyFill="1" applyBorder="1" applyAlignment="1">
      <alignment horizontal="left"/>
    </xf>
    <xf numFmtId="0" fontId="12" fillId="0" borderId="10" xfId="1" applyFont="1" applyFill="1" applyBorder="1" applyAlignment="1">
      <alignment horizontal="left"/>
    </xf>
    <xf numFmtId="0" fontId="16" fillId="3" borderId="10" xfId="3" applyNumberFormat="1" applyFont="1" applyFill="1" applyBorder="1" applyAlignment="1" applyProtection="1"/>
    <xf numFmtId="0" fontId="0" fillId="2" borderId="10" xfId="0" applyFill="1" applyBorder="1"/>
    <xf numFmtId="0" fontId="0" fillId="2" borderId="11" xfId="0" applyFill="1" applyBorder="1"/>
    <xf numFmtId="0" fontId="12" fillId="4" borderId="11" xfId="1" applyFont="1" applyFill="1" applyBorder="1" applyAlignment="1">
      <alignment horizontal="center"/>
    </xf>
    <xf numFmtId="0" fontId="12" fillId="4" borderId="11" xfId="1" applyFont="1" applyFill="1" applyBorder="1" applyAlignment="1">
      <alignment horizontal="center"/>
    </xf>
    <xf numFmtId="0" fontId="17" fillId="0" borderId="21" xfId="3" applyNumberFormat="1" applyFont="1" applyFill="1" applyBorder="1" applyAlignment="1" applyProtection="1">
      <alignment horizontal="center"/>
    </xf>
    <xf numFmtId="0" fontId="23" fillId="0" borderId="0" xfId="0" applyFont="1" applyFill="1" applyBorder="1"/>
    <xf numFmtId="0" fontId="9" fillId="5" borderId="16" xfId="3" applyNumberFormat="1" applyFont="1" applyFill="1" applyBorder="1" applyAlignment="1" applyProtection="1"/>
    <xf numFmtId="0" fontId="0" fillId="2" borderId="9" xfId="0" applyFill="1" applyBorder="1"/>
    <xf numFmtId="0" fontId="12" fillId="4" borderId="9" xfId="1" applyFont="1" applyFill="1" applyBorder="1" applyAlignment="1">
      <alignment horizontal="left"/>
    </xf>
    <xf numFmtId="0" fontId="3" fillId="3" borderId="9" xfId="3" applyNumberFormat="1" applyFont="1" applyFill="1" applyBorder="1" applyAlignment="1" applyProtection="1"/>
    <xf numFmtId="0" fontId="3" fillId="3" borderId="11" xfId="3" applyNumberFormat="1" applyFont="1" applyFill="1" applyBorder="1" applyAlignment="1" applyProtection="1">
      <alignment horizontal="center"/>
    </xf>
    <xf numFmtId="0" fontId="9" fillId="5" borderId="0" xfId="3" applyNumberFormat="1" applyFont="1" applyFill="1" applyBorder="1" applyAlignment="1" applyProtection="1">
      <alignment horizontal="right"/>
    </xf>
    <xf numFmtId="0" fontId="8" fillId="2" borderId="9" xfId="0" applyFont="1" applyFill="1" applyBorder="1"/>
    <xf numFmtId="0" fontId="8" fillId="2" borderId="11" xfId="0" applyFont="1" applyFill="1" applyBorder="1"/>
    <xf numFmtId="0" fontId="8" fillId="2" borderId="11" xfId="9" applyFont="1" applyFill="1" applyBorder="1" applyAlignment="1">
      <alignment horizontal="center"/>
    </xf>
    <xf numFmtId="0" fontId="8" fillId="0" borderId="11" xfId="9" applyFont="1" applyBorder="1" applyAlignment="1">
      <alignment horizontal="center"/>
    </xf>
    <xf numFmtId="0" fontId="17" fillId="2" borderId="11" xfId="2" applyFont="1" applyFill="1" applyBorder="1" applyAlignment="1">
      <alignment horizontal="center"/>
    </xf>
    <xf numFmtId="0" fontId="8" fillId="2" borderId="2" xfId="9" applyFont="1" applyFill="1" applyBorder="1"/>
    <xf numFmtId="0" fontId="20" fillId="0" borderId="0" xfId="0" applyFont="1" applyAlignment="1">
      <alignment horizontal="left" wrapText="1"/>
    </xf>
    <xf numFmtId="0" fontId="8" fillId="3" borderId="10" xfId="5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right"/>
    </xf>
    <xf numFmtId="0" fontId="8" fillId="0" borderId="10" xfId="0" applyFont="1" applyBorder="1"/>
    <xf numFmtId="0" fontId="8" fillId="0" borderId="12" xfId="9" applyFont="1" applyFill="1" applyBorder="1" applyAlignment="1">
      <alignment horizontal="right"/>
    </xf>
    <xf numFmtId="0" fontId="8" fillId="0" borderId="4" xfId="9" applyFont="1" applyFill="1" applyBorder="1" applyAlignment="1">
      <alignment horizontal="right"/>
    </xf>
    <xf numFmtId="1" fontId="8" fillId="0" borderId="4" xfId="0" applyNumberFormat="1" applyFont="1" applyFill="1" applyBorder="1"/>
    <xf numFmtId="0" fontId="42" fillId="3" borderId="0" xfId="3" applyNumberFormat="1" applyFont="1" applyFill="1" applyBorder="1" applyAlignment="1" applyProtection="1"/>
    <xf numFmtId="0" fontId="43" fillId="0" borderId="0" xfId="0" applyFont="1"/>
    <xf numFmtId="0" fontId="44" fillId="3" borderId="0" xfId="3" applyNumberFormat="1" applyFont="1" applyFill="1" applyBorder="1" applyAlignment="1" applyProtection="1"/>
    <xf numFmtId="0" fontId="46" fillId="0" borderId="0" xfId="0" applyFont="1" applyBorder="1"/>
    <xf numFmtId="0" fontId="46" fillId="0" borderId="0" xfId="0" applyFont="1"/>
    <xf numFmtId="0" fontId="44" fillId="0" borderId="0" xfId="3" applyNumberFormat="1" applyFont="1" applyFill="1" applyBorder="1" applyAlignment="1" applyProtection="1"/>
    <xf numFmtId="0" fontId="44" fillId="0" borderId="0" xfId="3" applyNumberFormat="1" applyFont="1" applyFill="1" applyBorder="1" applyAlignment="1" applyProtection="1">
      <alignment horizontal="center"/>
    </xf>
    <xf numFmtId="164" fontId="47" fillId="0" borderId="0" xfId="4" applyNumberFormat="1" applyFont="1" applyFill="1" applyBorder="1" applyAlignment="1" applyProtection="1">
      <alignment horizontal="right"/>
    </xf>
    <xf numFmtId="0" fontId="48" fillId="0" borderId="0" xfId="0" applyFont="1"/>
    <xf numFmtId="0" fontId="49" fillId="0" borderId="0" xfId="0" applyFont="1"/>
    <xf numFmtId="0" fontId="44" fillId="3" borderId="0" xfId="3" applyNumberFormat="1" applyFont="1" applyFill="1" applyBorder="1" applyAlignment="1" applyProtection="1">
      <alignment horizontal="center"/>
    </xf>
    <xf numFmtId="164" fontId="47" fillId="3" borderId="0" xfId="4" applyNumberFormat="1" applyFont="1" applyFill="1" applyBorder="1" applyAlignment="1" applyProtection="1">
      <alignment horizontal="right"/>
    </xf>
    <xf numFmtId="0" fontId="42" fillId="0" borderId="0" xfId="3" applyNumberFormat="1" applyFont="1" applyFill="1" applyBorder="1" applyAlignment="1" applyProtection="1"/>
    <xf numFmtId="0" fontId="49" fillId="2" borderId="0" xfId="9" applyFont="1" applyFill="1" applyBorder="1" applyAlignment="1">
      <alignment horizontal="center"/>
    </xf>
    <xf numFmtId="3" fontId="50" fillId="3" borderId="0" xfId="7" applyNumberFormat="1" applyFont="1" applyFill="1" applyBorder="1" applyAlignment="1" applyProtection="1">
      <alignment horizontal="right"/>
    </xf>
    <xf numFmtId="0" fontId="49" fillId="0" borderId="0" xfId="9" applyFont="1" applyBorder="1"/>
    <xf numFmtId="0" fontId="49" fillId="0" borderId="0" xfId="9" applyFont="1"/>
    <xf numFmtId="0" fontId="46" fillId="0" borderId="0" xfId="9" applyFont="1" applyFill="1"/>
    <xf numFmtId="0" fontId="15" fillId="0" borderId="18" xfId="5" applyNumberFormat="1" applyFont="1" applyFill="1" applyBorder="1" applyAlignment="1" applyProtection="1">
      <alignment horizontal="left"/>
    </xf>
    <xf numFmtId="0" fontId="44" fillId="3" borderId="0" xfId="3" applyNumberFormat="1" applyFont="1" applyFill="1" applyBorder="1" applyAlignment="1" applyProtection="1">
      <alignment horizontal="left" wrapText="1"/>
    </xf>
    <xf numFmtId="0" fontId="18" fillId="3" borderId="10" xfId="5" applyNumberFormat="1" applyFont="1" applyFill="1" applyBorder="1" applyAlignment="1" applyProtection="1">
      <alignment horizontal="left"/>
    </xf>
    <xf numFmtId="0" fontId="18" fillId="0" borderId="10" xfId="5" applyNumberFormat="1" applyFont="1" applyFill="1" applyBorder="1" applyAlignment="1" applyProtection="1">
      <alignment horizontal="left"/>
    </xf>
    <xf numFmtId="3" fontId="53" fillId="0" borderId="2" xfId="6" applyNumberFormat="1" applyFont="1" applyFill="1" applyBorder="1" applyAlignment="1" applyProtection="1">
      <alignment horizontal="right"/>
    </xf>
    <xf numFmtId="3" fontId="53" fillId="0" borderId="2" xfId="0" applyNumberFormat="1" applyFont="1" applyFill="1" applyBorder="1"/>
    <xf numFmtId="3" fontId="53" fillId="0" borderId="4" xfId="0" applyNumberFormat="1" applyFont="1" applyFill="1" applyBorder="1"/>
    <xf numFmtId="3" fontId="17" fillId="2" borderId="2" xfId="0" applyNumberFormat="1" applyFont="1" applyFill="1" applyBorder="1"/>
    <xf numFmtId="3" fontId="53" fillId="2" borderId="2" xfId="0" applyNumberFormat="1" applyFont="1" applyFill="1" applyBorder="1"/>
    <xf numFmtId="1" fontId="17" fillId="2" borderId="2" xfId="0" applyNumberFormat="1" applyFont="1" applyFill="1" applyBorder="1"/>
    <xf numFmtId="0" fontId="51" fillId="0" borderId="0" xfId="0" applyFont="1"/>
    <xf numFmtId="1" fontId="53" fillId="0" borderId="2" xfId="0" applyNumberFormat="1" applyFont="1" applyFill="1" applyBorder="1"/>
    <xf numFmtId="1" fontId="17" fillId="2" borderId="2" xfId="0" applyNumberFormat="1" applyFont="1" applyFill="1" applyBorder="1" applyAlignment="1"/>
    <xf numFmtId="3" fontId="17" fillId="0" borderId="2" xfId="0" applyNumberFormat="1" applyFont="1" applyFill="1" applyBorder="1" applyAlignment="1"/>
    <xf numFmtId="3" fontId="17" fillId="0" borderId="4" xfId="0" applyNumberFormat="1" applyFont="1" applyFill="1" applyBorder="1" applyAlignment="1"/>
    <xf numFmtId="3" fontId="17" fillId="0" borderId="0" xfId="0" applyNumberFormat="1" applyFont="1" applyFill="1" applyBorder="1" applyAlignment="1"/>
    <xf numFmtId="3" fontId="53" fillId="0" borderId="2" xfId="0" applyNumberFormat="1" applyFont="1" applyFill="1" applyBorder="1" applyAlignment="1"/>
    <xf numFmtId="3" fontId="53" fillId="0" borderId="0" xfId="0" applyNumberFormat="1" applyFont="1" applyFill="1" applyBorder="1" applyAlignment="1"/>
    <xf numFmtId="3" fontId="53" fillId="0" borderId="4" xfId="0" applyNumberFormat="1" applyFont="1" applyFill="1" applyBorder="1" applyAlignment="1"/>
    <xf numFmtId="164" fontId="53" fillId="0" borderId="2" xfId="0" applyNumberFormat="1" applyFont="1" applyFill="1" applyBorder="1" applyAlignment="1"/>
    <xf numFmtId="164" fontId="53" fillId="0" borderId="4" xfId="0" applyNumberFormat="1" applyFont="1" applyFill="1" applyBorder="1" applyAlignment="1"/>
    <xf numFmtId="165" fontId="17" fillId="0" borderId="12" xfId="0" applyNumberFormat="1" applyFont="1" applyFill="1" applyBorder="1" applyAlignment="1"/>
    <xf numFmtId="165" fontId="17" fillId="0" borderId="2" xfId="0" applyNumberFormat="1" applyFont="1" applyFill="1" applyBorder="1" applyAlignment="1"/>
    <xf numFmtId="165" fontId="17" fillId="0" borderId="4" xfId="0" applyNumberFormat="1" applyFont="1" applyFill="1" applyBorder="1" applyAlignment="1"/>
    <xf numFmtId="1" fontId="17" fillId="0" borderId="2" xfId="0" applyNumberFormat="1" applyFont="1" applyFill="1" applyBorder="1" applyAlignment="1"/>
    <xf numFmtId="1" fontId="17" fillId="0" borderId="4" xfId="0" applyNumberFormat="1" applyFont="1" applyFill="1" applyBorder="1" applyAlignment="1"/>
    <xf numFmtId="164" fontId="17" fillId="0" borderId="5" xfId="4" applyNumberFormat="1" applyFont="1" applyFill="1" applyBorder="1" applyAlignment="1" applyProtection="1"/>
    <xf numFmtId="164" fontId="17" fillId="0" borderId="3" xfId="4" applyNumberFormat="1" applyFont="1" applyFill="1" applyBorder="1" applyAlignment="1" applyProtection="1"/>
    <xf numFmtId="165" fontId="17" fillId="0" borderId="5" xfId="0" applyNumberFormat="1" applyFont="1" applyFill="1" applyBorder="1" applyAlignment="1"/>
    <xf numFmtId="0" fontId="53" fillId="0" borderId="10" xfId="5" applyNumberFormat="1" applyFont="1" applyFill="1" applyBorder="1" applyAlignment="1" applyProtection="1">
      <alignment horizontal="left"/>
    </xf>
    <xf numFmtId="0" fontId="53" fillId="0" borderId="11" xfId="3" applyNumberFormat="1" applyFont="1" applyFill="1" applyBorder="1" applyAlignment="1" applyProtection="1">
      <alignment horizontal="center"/>
    </xf>
    <xf numFmtId="0" fontId="54" fillId="0" borderId="0" xfId="0" applyFont="1" applyFill="1"/>
    <xf numFmtId="0" fontId="20" fillId="0" borderId="10" xfId="5" applyNumberFormat="1" applyFont="1" applyFill="1" applyBorder="1" applyAlignment="1" applyProtection="1">
      <alignment horizontal="left"/>
    </xf>
    <xf numFmtId="0" fontId="0" fillId="0" borderId="4" xfId="0" applyBorder="1"/>
    <xf numFmtId="0" fontId="0" fillId="0" borderId="1" xfId="0" applyBorder="1"/>
    <xf numFmtId="0" fontId="0" fillId="0" borderId="6" xfId="0" applyBorder="1"/>
    <xf numFmtId="0" fontId="58" fillId="0" borderId="0" xfId="0" applyFont="1"/>
    <xf numFmtId="0" fontId="58" fillId="0" borderId="0" xfId="0" applyFont="1" applyBorder="1"/>
    <xf numFmtId="0" fontId="8" fillId="3" borderId="6" xfId="3" applyNumberFormat="1" applyFont="1" applyFill="1" applyBorder="1" applyAlignment="1" applyProtection="1"/>
    <xf numFmtId="0" fontId="8" fillId="3" borderId="6" xfId="3" applyNumberFormat="1" applyFont="1" applyFill="1" applyBorder="1" applyAlignment="1" applyProtection="1">
      <alignment horizontal="center" wrapText="1"/>
    </xf>
    <xf numFmtId="164" fontId="17" fillId="3" borderId="11" xfId="3" applyNumberFormat="1" applyFont="1" applyFill="1" applyBorder="1" applyAlignment="1" applyProtection="1">
      <alignment horizontal="center"/>
    </xf>
    <xf numFmtId="3" fontId="17" fillId="2" borderId="4" xfId="6" applyNumberFormat="1" applyFont="1" applyFill="1" applyBorder="1" applyAlignment="1" applyProtection="1">
      <alignment horizontal="right"/>
    </xf>
    <xf numFmtId="3" fontId="17" fillId="2" borderId="2" xfId="6" applyNumberFormat="1" applyFont="1" applyFill="1" applyBorder="1" applyAlignment="1" applyProtection="1">
      <alignment horizontal="right"/>
    </xf>
    <xf numFmtId="3" fontId="17" fillId="0" borderId="2" xfId="6" applyNumberFormat="1" applyFont="1" applyFill="1" applyBorder="1" applyAlignment="1" applyProtection="1">
      <alignment horizontal="right"/>
    </xf>
    <xf numFmtId="164" fontId="53" fillId="3" borderId="10" xfId="3" applyNumberFormat="1" applyFont="1" applyFill="1" applyBorder="1" applyAlignment="1" applyProtection="1">
      <alignment horizontal="center"/>
    </xf>
    <xf numFmtId="3" fontId="53" fillId="2" borderId="4" xfId="6" applyNumberFormat="1" applyFont="1" applyFill="1" applyBorder="1" applyAlignment="1" applyProtection="1">
      <alignment horizontal="right"/>
    </xf>
    <xf numFmtId="3" fontId="53" fillId="2" borderId="2" xfId="6" applyNumberFormat="1" applyFont="1" applyFill="1" applyBorder="1" applyAlignment="1" applyProtection="1">
      <alignment horizontal="right"/>
    </xf>
    <xf numFmtId="3" fontId="53" fillId="2" borderId="4" xfId="0" applyNumberFormat="1" applyFont="1" applyFill="1" applyBorder="1"/>
    <xf numFmtId="164" fontId="17" fillId="5" borderId="10" xfId="3" applyNumberFormat="1" applyFont="1" applyFill="1" applyBorder="1" applyAlignment="1" applyProtection="1">
      <alignment horizontal="center"/>
    </xf>
    <xf numFmtId="164" fontId="17" fillId="3" borderId="10" xfId="3" applyNumberFormat="1" applyFont="1" applyFill="1" applyBorder="1" applyAlignment="1" applyProtection="1">
      <alignment horizontal="center"/>
    </xf>
    <xf numFmtId="3" fontId="17" fillId="2" borderId="4" xfId="0" applyNumberFormat="1" applyFont="1" applyFill="1" applyBorder="1"/>
    <xf numFmtId="3" fontId="17" fillId="0" borderId="2" xfId="0" applyNumberFormat="1" applyFont="1" applyFill="1" applyBorder="1"/>
    <xf numFmtId="0" fontId="24" fillId="5" borderId="10" xfId="3" applyNumberFormat="1" applyFont="1" applyFill="1" applyBorder="1" applyAlignment="1" applyProtection="1"/>
    <xf numFmtId="164" fontId="17" fillId="0" borderId="10" xfId="3" applyNumberFormat="1" applyFont="1" applyFill="1" applyBorder="1" applyAlignment="1" applyProtection="1">
      <alignment horizontal="center"/>
    </xf>
    <xf numFmtId="3" fontId="17" fillId="2" borderId="4" xfId="0" applyNumberFormat="1" applyFont="1" applyFill="1" applyBorder="1" applyAlignment="1">
      <alignment horizontal="right"/>
    </xf>
    <xf numFmtId="164" fontId="17" fillId="0" borderId="4" xfId="3" applyNumberFormat="1" applyFont="1" applyFill="1" applyBorder="1" applyAlignment="1" applyProtection="1">
      <alignment horizontal="right"/>
    </xf>
    <xf numFmtId="164" fontId="17" fillId="0" borderId="2" xfId="3" applyNumberFormat="1" applyFont="1" applyFill="1" applyBorder="1" applyAlignment="1" applyProtection="1">
      <alignment horizontal="right"/>
    </xf>
    <xf numFmtId="164" fontId="53" fillId="0" borderId="10" xfId="3" applyNumberFormat="1" applyFont="1" applyFill="1" applyBorder="1" applyAlignment="1" applyProtection="1">
      <alignment horizontal="center"/>
    </xf>
    <xf numFmtId="3" fontId="53" fillId="2" borderId="4" xfId="0" applyNumberFormat="1" applyFont="1" applyFill="1" applyBorder="1" applyAlignment="1">
      <alignment horizontal="right"/>
    </xf>
    <xf numFmtId="164" fontId="53" fillId="0" borderId="4" xfId="3" applyNumberFormat="1" applyFont="1" applyFill="1" applyBorder="1" applyAlignment="1" applyProtection="1">
      <alignment horizontal="right"/>
    </xf>
    <xf numFmtId="164" fontId="53" fillId="0" borderId="2" xfId="3" applyNumberFormat="1" applyFont="1" applyFill="1" applyBorder="1" applyAlignment="1" applyProtection="1">
      <alignment horizontal="right"/>
    </xf>
    <xf numFmtId="3" fontId="53" fillId="2" borderId="2" xfId="0" applyNumberFormat="1" applyFont="1" applyFill="1" applyBorder="1" applyAlignment="1">
      <alignment horizontal="right"/>
    </xf>
    <xf numFmtId="9" fontId="53" fillId="2" borderId="2" xfId="10" applyFont="1" applyFill="1" applyBorder="1" applyAlignment="1">
      <alignment horizontal="right"/>
    </xf>
    <xf numFmtId="9" fontId="53" fillId="2" borderId="4" xfId="10" applyFont="1" applyFill="1" applyBorder="1" applyAlignment="1">
      <alignment horizontal="right"/>
    </xf>
    <xf numFmtId="9" fontId="53" fillId="0" borderId="2" xfId="10" applyFont="1" applyFill="1" applyBorder="1" applyAlignment="1" applyProtection="1">
      <alignment horizontal="right"/>
    </xf>
    <xf numFmtId="9" fontId="53" fillId="0" borderId="4" xfId="10" applyFont="1" applyFill="1" applyBorder="1" applyAlignment="1" applyProtection="1">
      <alignment horizontal="right"/>
    </xf>
    <xf numFmtId="0" fontId="24" fillId="4" borderId="10" xfId="1" applyFont="1" applyFill="1" applyBorder="1" applyAlignment="1">
      <alignment horizontal="center"/>
    </xf>
    <xf numFmtId="0" fontId="24" fillId="4" borderId="0" xfId="1" applyFont="1" applyFill="1" applyBorder="1" applyAlignment="1">
      <alignment horizontal="center"/>
    </xf>
    <xf numFmtId="0" fontId="24" fillId="4" borderId="0" xfId="1" applyFont="1" applyFill="1" applyAlignment="1">
      <alignment horizontal="center"/>
    </xf>
    <xf numFmtId="0" fontId="24" fillId="0" borderId="10" xfId="1" applyFont="1" applyFill="1" applyBorder="1" applyAlignment="1">
      <alignment horizontal="center"/>
    </xf>
    <xf numFmtId="0" fontId="24" fillId="0" borderId="0" xfId="1" applyFont="1" applyFill="1" applyAlignment="1">
      <alignment horizontal="center"/>
    </xf>
    <xf numFmtId="0" fontId="24" fillId="0" borderId="0" xfId="1" applyFont="1" applyFill="1" applyBorder="1" applyAlignment="1">
      <alignment horizontal="center"/>
    </xf>
    <xf numFmtId="0" fontId="23" fillId="0" borderId="4" xfId="0" applyFont="1" applyBorder="1"/>
    <xf numFmtId="0" fontId="17" fillId="3" borderId="10" xfId="3" applyNumberFormat="1" applyFont="1" applyFill="1" applyBorder="1" applyAlignment="1" applyProtection="1">
      <alignment horizontal="center"/>
    </xf>
    <xf numFmtId="3" fontId="17" fillId="2" borderId="2" xfId="6" applyNumberFormat="1" applyFont="1" applyFill="1" applyBorder="1" applyAlignment="1" applyProtection="1"/>
    <xf numFmtId="3" fontId="17" fillId="2" borderId="4" xfId="6" applyNumberFormat="1" applyFont="1" applyFill="1" applyBorder="1" applyAlignment="1" applyProtection="1"/>
    <xf numFmtId="0" fontId="17" fillId="5" borderId="10" xfId="3" applyNumberFormat="1" applyFont="1" applyFill="1" applyBorder="1" applyAlignment="1" applyProtection="1">
      <alignment horizontal="center"/>
    </xf>
    <xf numFmtId="9" fontId="17" fillId="2" borderId="4" xfId="10" applyFont="1" applyFill="1" applyBorder="1"/>
    <xf numFmtId="9" fontId="17" fillId="0" borderId="4" xfId="10" applyFont="1" applyFill="1" applyBorder="1"/>
    <xf numFmtId="9" fontId="17" fillId="0" borderId="4" xfId="10" applyNumberFormat="1" applyFont="1" applyFill="1" applyBorder="1" applyAlignment="1"/>
    <xf numFmtId="9" fontId="17" fillId="0" borderId="4" xfId="10" applyFont="1" applyFill="1" applyBorder="1" applyAlignment="1"/>
    <xf numFmtId="9" fontId="17" fillId="2" borderId="4" xfId="10" applyNumberFormat="1" applyFont="1" applyFill="1" applyBorder="1"/>
    <xf numFmtId="1" fontId="17" fillId="2" borderId="4" xfId="0" applyNumberFormat="1" applyFont="1" applyFill="1" applyBorder="1"/>
    <xf numFmtId="1" fontId="17" fillId="2" borderId="4" xfId="0" applyNumberFormat="1" applyFont="1" applyFill="1" applyBorder="1" applyAlignment="1"/>
    <xf numFmtId="1" fontId="17" fillId="2" borderId="0" xfId="0" applyNumberFormat="1" applyFont="1" applyFill="1" applyBorder="1"/>
    <xf numFmtId="0" fontId="53" fillId="3" borderId="10" xfId="3" applyNumberFormat="1" applyFont="1" applyFill="1" applyBorder="1" applyAlignment="1" applyProtection="1">
      <alignment horizontal="center"/>
    </xf>
    <xf numFmtId="1" fontId="53" fillId="2" borderId="0" xfId="0" applyNumberFormat="1" applyFont="1" applyFill="1" applyBorder="1"/>
    <xf numFmtId="1" fontId="53" fillId="2" borderId="2" xfId="0" applyNumberFormat="1" applyFont="1" applyFill="1" applyBorder="1"/>
    <xf numFmtId="1" fontId="53" fillId="2" borderId="4" xfId="0" applyNumberFormat="1" applyFont="1" applyFill="1" applyBorder="1"/>
    <xf numFmtId="1" fontId="53" fillId="2" borderId="4" xfId="0" applyNumberFormat="1" applyFont="1" applyFill="1" applyBorder="1" applyAlignment="1"/>
    <xf numFmtId="0" fontId="17" fillId="3" borderId="11" xfId="3" applyNumberFormat="1" applyFont="1" applyFill="1" applyBorder="1" applyAlignment="1" applyProtection="1">
      <alignment horizontal="center"/>
    </xf>
    <xf numFmtId="1" fontId="17" fillId="2" borderId="1" xfId="0" applyNumberFormat="1" applyFont="1" applyFill="1" applyBorder="1"/>
    <xf numFmtId="1" fontId="53" fillId="2" borderId="1" xfId="0" applyNumberFormat="1" applyFont="1" applyFill="1" applyBorder="1"/>
    <xf numFmtId="0" fontId="53" fillId="3" borderId="11" xfId="3" applyNumberFormat="1" applyFont="1" applyFill="1" applyBorder="1" applyAlignment="1" applyProtection="1">
      <alignment horizontal="center"/>
    </xf>
    <xf numFmtId="1" fontId="24" fillId="4" borderId="0" xfId="1" applyNumberFormat="1" applyFont="1" applyFill="1" applyAlignment="1">
      <alignment horizontal="center"/>
    </xf>
    <xf numFmtId="4" fontId="17" fillId="2" borderId="4" xfId="0" applyNumberFormat="1" applyFont="1" applyFill="1" applyBorder="1"/>
    <xf numFmtId="3" fontId="24" fillId="2" borderId="4" xfId="0" applyNumberFormat="1" applyFont="1" applyFill="1" applyBorder="1" applyAlignment="1"/>
    <xf numFmtId="3" fontId="24" fillId="0" borderId="4" xfId="0" applyNumberFormat="1" applyFont="1" applyFill="1" applyBorder="1" applyAlignment="1"/>
    <xf numFmtId="3" fontId="17" fillId="2" borderId="2" xfId="0" applyNumberFormat="1" applyFont="1" applyFill="1" applyBorder="1" applyAlignment="1"/>
    <xf numFmtId="3" fontId="17" fillId="2" borderId="4" xfId="0" applyNumberFormat="1" applyFont="1" applyFill="1" applyBorder="1" applyAlignment="1"/>
    <xf numFmtId="3" fontId="53" fillId="2" borderId="2" xfId="0" applyNumberFormat="1" applyFont="1" applyFill="1" applyBorder="1" applyAlignment="1"/>
    <xf numFmtId="3" fontId="17" fillId="0" borderId="2" xfId="0" applyNumberFormat="1" applyFont="1" applyBorder="1" applyAlignment="1"/>
    <xf numFmtId="3" fontId="17" fillId="0" borderId="4" xfId="0" applyNumberFormat="1" applyFont="1" applyBorder="1" applyAlignment="1"/>
    <xf numFmtId="3" fontId="17" fillId="0" borderId="0" xfId="0" applyNumberFormat="1" applyFont="1" applyAlignment="1"/>
    <xf numFmtId="9" fontId="17" fillId="0" borderId="2" xfId="10" applyFont="1" applyBorder="1" applyAlignment="1"/>
    <xf numFmtId="9" fontId="17" fillId="0" borderId="4" xfId="10" applyFont="1" applyBorder="1" applyAlignment="1"/>
    <xf numFmtId="9" fontId="17" fillId="0" borderId="4" xfId="10" applyNumberFormat="1" applyFont="1" applyBorder="1" applyAlignment="1"/>
    <xf numFmtId="9" fontId="17" fillId="0" borderId="2" xfId="10" applyFont="1" applyFill="1" applyBorder="1" applyAlignment="1"/>
    <xf numFmtId="1" fontId="17" fillId="0" borderId="5" xfId="0" applyNumberFormat="1" applyFont="1" applyFill="1" applyBorder="1" applyAlignment="1">
      <alignment horizontal="right"/>
    </xf>
    <xf numFmtId="1" fontId="17" fillId="0" borderId="3" xfId="0" applyNumberFormat="1" applyFont="1" applyFill="1" applyBorder="1"/>
    <xf numFmtId="3" fontId="17" fillId="0" borderId="3" xfId="0" applyNumberFormat="1" applyFont="1" applyFill="1" applyBorder="1"/>
    <xf numFmtId="3" fontId="17" fillId="0" borderId="3" xfId="0" applyNumberFormat="1" applyFont="1" applyFill="1" applyBorder="1" applyAlignment="1"/>
    <xf numFmtId="1" fontId="17" fillId="0" borderId="21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/>
    <xf numFmtId="3" fontId="17" fillId="2" borderId="21" xfId="0" applyNumberFormat="1" applyFont="1" applyFill="1" applyBorder="1"/>
    <xf numFmtId="3" fontId="17" fillId="2" borderId="0" xfId="0" applyNumberFormat="1" applyFont="1" applyFill="1" applyBorder="1"/>
    <xf numFmtId="0" fontId="23" fillId="0" borderId="0" xfId="0" applyFont="1"/>
    <xf numFmtId="0" fontId="23" fillId="0" borderId="4" xfId="0" applyFont="1" applyFill="1" applyBorder="1"/>
    <xf numFmtId="0" fontId="24" fillId="5" borderId="0" xfId="3" applyNumberFormat="1" applyFont="1" applyFill="1" applyBorder="1" applyAlignment="1" applyProtection="1"/>
    <xf numFmtId="0" fontId="24" fillId="5" borderId="16" xfId="3" applyNumberFormat="1" applyFont="1" applyFill="1" applyBorder="1" applyAlignment="1" applyProtection="1"/>
    <xf numFmtId="0" fontId="24" fillId="5" borderId="4" xfId="3" applyNumberFormat="1" applyFont="1" applyFill="1" applyBorder="1" applyAlignment="1" applyProtection="1"/>
    <xf numFmtId="0" fontId="24" fillId="5" borderId="11" xfId="3" applyNumberFormat="1" applyFont="1" applyFill="1" applyBorder="1" applyAlignment="1" applyProtection="1"/>
    <xf numFmtId="4" fontId="17" fillId="3" borderId="5" xfId="4" applyNumberFormat="1" applyFont="1" applyFill="1" applyBorder="1" applyAlignment="1" applyProtection="1">
      <alignment horizontal="right"/>
    </xf>
    <xf numFmtId="4" fontId="17" fillId="3" borderId="3" xfId="4" applyNumberFormat="1" applyFont="1" applyFill="1" applyBorder="1" applyAlignment="1" applyProtection="1">
      <alignment horizontal="right"/>
    </xf>
    <xf numFmtId="4" fontId="17" fillId="3" borderId="3" xfId="4" applyNumberFormat="1" applyFont="1" applyFill="1" applyBorder="1" applyAlignment="1" applyProtection="1"/>
    <xf numFmtId="0" fontId="17" fillId="3" borderId="9" xfId="3" applyNumberFormat="1" applyFont="1" applyFill="1" applyBorder="1" applyAlignment="1" applyProtection="1"/>
    <xf numFmtId="9" fontId="17" fillId="2" borderId="4" xfId="10" applyFont="1" applyFill="1" applyBorder="1" applyAlignment="1">
      <alignment horizontal="right"/>
    </xf>
    <xf numFmtId="9" fontId="17" fillId="2" borderId="0" xfId="10" applyFont="1" applyFill="1" applyBorder="1"/>
    <xf numFmtId="9" fontId="17" fillId="2" borderId="2" xfId="10" applyFont="1" applyFill="1" applyBorder="1"/>
    <xf numFmtId="9" fontId="17" fillId="0" borderId="2" xfId="10" applyFont="1" applyFill="1" applyBorder="1"/>
    <xf numFmtId="0" fontId="17" fillId="0" borderId="10" xfId="9" applyFont="1" applyBorder="1" applyAlignment="1">
      <alignment horizontal="center"/>
    </xf>
    <xf numFmtId="167" fontId="17" fillId="2" borderId="12" xfId="10" applyNumberFormat="1" applyFont="1" applyFill="1" applyBorder="1"/>
    <xf numFmtId="167" fontId="17" fillId="2" borderId="2" xfId="10" applyNumberFormat="1" applyFont="1" applyFill="1" applyBorder="1"/>
    <xf numFmtId="167" fontId="17" fillId="2" borderId="4" xfId="10" applyNumberFormat="1" applyFont="1" applyFill="1" applyBorder="1"/>
    <xf numFmtId="167" fontId="17" fillId="0" borderId="4" xfId="10" applyNumberFormat="1" applyFont="1" applyFill="1" applyBorder="1"/>
    <xf numFmtId="165" fontId="17" fillId="0" borderId="4" xfId="0" applyNumberFormat="1" applyFont="1" applyFill="1" applyBorder="1"/>
    <xf numFmtId="165" fontId="17" fillId="0" borderId="2" xfId="0" applyNumberFormat="1" applyFont="1" applyFill="1" applyBorder="1"/>
    <xf numFmtId="166" fontId="17" fillId="0" borderId="4" xfId="0" applyNumberFormat="1" applyFont="1" applyFill="1" applyBorder="1"/>
    <xf numFmtId="166" fontId="17" fillId="0" borderId="2" xfId="0" applyNumberFormat="1" applyFont="1" applyFill="1" applyBorder="1"/>
    <xf numFmtId="0" fontId="17" fillId="3" borderId="9" xfId="5" applyNumberFormat="1" applyFont="1" applyFill="1" applyBorder="1" applyAlignment="1" applyProtection="1"/>
    <xf numFmtId="0" fontId="53" fillId="3" borderId="9" xfId="5" applyNumberFormat="1" applyFont="1" applyFill="1" applyBorder="1" applyAlignment="1" applyProtection="1">
      <alignment horizontal="right"/>
    </xf>
    <xf numFmtId="0" fontId="53" fillId="0" borderId="10" xfId="9" applyFont="1" applyBorder="1" applyAlignment="1">
      <alignment horizontal="center"/>
    </xf>
    <xf numFmtId="0" fontId="17" fillId="3" borderId="10" xfId="5" applyNumberFormat="1" applyFont="1" applyFill="1" applyBorder="1" applyAlignment="1" applyProtection="1"/>
    <xf numFmtId="3" fontId="17" fillId="0" borderId="4" xfId="0" applyNumberFormat="1" applyFont="1" applyFill="1" applyBorder="1"/>
    <xf numFmtId="3" fontId="17" fillId="0" borderId="4" xfId="6" applyNumberFormat="1" applyFont="1" applyFill="1" applyBorder="1" applyAlignment="1" applyProtection="1">
      <alignment horizontal="right"/>
    </xf>
    <xf numFmtId="0" fontId="17" fillId="0" borderId="10" xfId="3" applyNumberFormat="1" applyFont="1" applyFill="1" applyBorder="1" applyAlignment="1" applyProtection="1"/>
    <xf numFmtId="0" fontId="12" fillId="4" borderId="0" xfId="1" applyFont="1" applyFill="1" applyBorder="1" applyAlignment="1">
      <alignment horizontal="center"/>
    </xf>
    <xf numFmtId="0" fontId="12" fillId="4" borderId="4" xfId="1" applyFont="1" applyFill="1" applyBorder="1" applyAlignment="1">
      <alignment horizontal="center"/>
    </xf>
    <xf numFmtId="1" fontId="8" fillId="2" borderId="4" xfId="0" applyNumberFormat="1" applyFont="1" applyFill="1" applyBorder="1" applyAlignment="1"/>
    <xf numFmtId="1" fontId="8" fillId="2" borderId="2" xfId="0" applyNumberFormat="1" applyFont="1" applyFill="1" applyBorder="1" applyAlignment="1"/>
    <xf numFmtId="1" fontId="8" fillId="0" borderId="2" xfId="0" applyNumberFormat="1" applyFont="1" applyFill="1" applyBorder="1" applyAlignment="1"/>
    <xf numFmtId="1" fontId="8" fillId="2" borderId="2" xfId="0" applyNumberFormat="1" applyFont="1" applyFill="1" applyBorder="1"/>
    <xf numFmtId="0" fontId="14" fillId="3" borderId="10" xfId="5" applyNumberFormat="1" applyFont="1" applyFill="1" applyBorder="1" applyAlignment="1" applyProtection="1">
      <alignment horizontal="left"/>
    </xf>
    <xf numFmtId="0" fontId="24" fillId="3" borderId="11" xfId="3" applyNumberFormat="1" applyFont="1" applyFill="1" applyBorder="1" applyAlignment="1" applyProtection="1">
      <alignment horizontal="center"/>
    </xf>
    <xf numFmtId="3" fontId="24" fillId="2" borderId="4" xfId="0" applyNumberFormat="1" applyFont="1" applyFill="1" applyBorder="1" applyAlignment="1">
      <alignment horizontal="right"/>
    </xf>
    <xf numFmtId="0" fontId="62" fillId="0" borderId="0" xfId="0" applyFont="1"/>
    <xf numFmtId="0" fontId="63" fillId="0" borderId="0" xfId="0" applyFont="1"/>
    <xf numFmtId="0" fontId="18" fillId="3" borderId="10" xfId="5" applyNumberFormat="1" applyFont="1" applyFill="1" applyBorder="1" applyAlignment="1" applyProtection="1"/>
    <xf numFmtId="9" fontId="20" fillId="2" borderId="4" xfId="10" applyFont="1" applyFill="1" applyBorder="1" applyAlignment="1">
      <alignment horizontal="right"/>
    </xf>
    <xf numFmtId="3" fontId="18" fillId="2" borderId="2" xfId="6" applyNumberFormat="1" applyFont="1" applyFill="1" applyBorder="1" applyAlignment="1" applyProtection="1">
      <alignment horizontal="right"/>
    </xf>
    <xf numFmtId="3" fontId="18" fillId="2" borderId="4" xfId="6" applyNumberFormat="1" applyFont="1" applyFill="1" applyBorder="1" applyAlignment="1" applyProtection="1">
      <alignment horizontal="right"/>
    </xf>
    <xf numFmtId="0" fontId="34" fillId="5" borderId="20" xfId="8" applyFont="1" applyFill="1" applyBorder="1" applyAlignment="1">
      <alignment horizontal="left" vertical="center"/>
    </xf>
    <xf numFmtId="0" fontId="34" fillId="5" borderId="7" xfId="8" applyFont="1" applyFill="1" applyBorder="1" applyAlignment="1">
      <alignment horizontal="left" vertical="center"/>
    </xf>
    <xf numFmtId="0" fontId="34" fillId="5" borderId="15" xfId="8" applyFont="1" applyFill="1" applyBorder="1" applyAlignment="1">
      <alignment horizontal="left" vertical="center"/>
    </xf>
    <xf numFmtId="0" fontId="13" fillId="4" borderId="0" xfId="1" applyFont="1" applyFill="1" applyBorder="1" applyAlignment="1">
      <alignment horizontal="center" vertical="center"/>
    </xf>
    <xf numFmtId="0" fontId="24" fillId="5" borderId="16" xfId="3" applyNumberFormat="1" applyFont="1" applyFill="1" applyBorder="1" applyAlignment="1" applyProtection="1">
      <alignment horizontal="center"/>
    </xf>
    <xf numFmtId="0" fontId="24" fillId="5" borderId="0" xfId="3" applyNumberFormat="1" applyFont="1" applyFill="1" applyBorder="1" applyAlignment="1" applyProtection="1">
      <alignment horizontal="center"/>
    </xf>
    <xf numFmtId="0" fontId="24" fillId="5" borderId="4" xfId="3" applyNumberFormat="1" applyFont="1" applyFill="1" applyBorder="1" applyAlignment="1" applyProtection="1">
      <alignment horizontal="center"/>
    </xf>
    <xf numFmtId="1" fontId="24" fillId="5" borderId="16" xfId="3" applyNumberFormat="1" applyFont="1" applyFill="1" applyBorder="1" applyAlignment="1" applyProtection="1">
      <alignment horizontal="center"/>
    </xf>
    <xf numFmtId="1" fontId="24" fillId="5" borderId="0" xfId="3" applyNumberFormat="1" applyFont="1" applyFill="1" applyBorder="1" applyAlignment="1" applyProtection="1">
      <alignment horizontal="center"/>
    </xf>
    <xf numFmtId="1" fontId="24" fillId="5" borderId="4" xfId="3" applyNumberFormat="1" applyFont="1" applyFill="1" applyBorder="1" applyAlignment="1" applyProtection="1">
      <alignment horizontal="center"/>
    </xf>
    <xf numFmtId="0" fontId="13" fillId="4" borderId="10" xfId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/>
    </xf>
    <xf numFmtId="0" fontId="24" fillId="4" borderId="0" xfId="1" applyFont="1" applyFill="1" applyBorder="1" applyAlignment="1">
      <alignment horizontal="center"/>
    </xf>
    <xf numFmtId="0" fontId="24" fillId="4" borderId="4" xfId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 vertical="center"/>
    </xf>
    <xf numFmtId="3" fontId="24" fillId="5" borderId="16" xfId="3" applyNumberFormat="1" applyFont="1" applyFill="1" applyBorder="1" applyAlignment="1" applyProtection="1">
      <alignment horizontal="center"/>
    </xf>
    <xf numFmtId="3" fontId="24" fillId="5" borderId="0" xfId="3" applyNumberFormat="1" applyFont="1" applyFill="1" applyBorder="1" applyAlignment="1" applyProtection="1">
      <alignment horizontal="center"/>
    </xf>
    <xf numFmtId="3" fontId="24" fillId="5" borderId="4" xfId="3" applyNumberFormat="1" applyFont="1" applyFill="1" applyBorder="1" applyAlignment="1" applyProtection="1">
      <alignment horizontal="center"/>
    </xf>
    <xf numFmtId="1" fontId="24" fillId="4" borderId="0" xfId="1" applyNumberFormat="1" applyFont="1" applyFill="1" applyAlignment="1">
      <alignment horizontal="center"/>
    </xf>
    <xf numFmtId="0" fontId="12" fillId="4" borderId="0" xfId="1" applyFont="1" applyFill="1" applyBorder="1" applyAlignment="1">
      <alignment horizontal="center"/>
    </xf>
    <xf numFmtId="0" fontId="12" fillId="4" borderId="4" xfId="1" applyFont="1" applyFill="1" applyBorder="1" applyAlignment="1">
      <alignment horizontal="center"/>
    </xf>
    <xf numFmtId="0" fontId="9" fillId="0" borderId="6" xfId="3" applyNumberFormat="1" applyFont="1" applyFill="1" applyBorder="1" applyAlignment="1" applyProtection="1">
      <alignment horizontal="center"/>
    </xf>
    <xf numFmtId="0" fontId="24" fillId="4" borderId="0" xfId="1" applyFont="1" applyFill="1" applyAlignment="1">
      <alignment horizontal="center"/>
    </xf>
    <xf numFmtId="3" fontId="6" fillId="0" borderId="0" xfId="8" applyNumberFormat="1" applyFill="1" applyBorder="1" applyAlignment="1" applyProtection="1">
      <alignment horizontal="left"/>
    </xf>
    <xf numFmtId="3" fontId="10" fillId="0" borderId="0" xfId="8" applyNumberFormat="1" applyFont="1" applyFill="1" applyBorder="1" applyAlignment="1" applyProtection="1">
      <alignment horizontal="left"/>
    </xf>
    <xf numFmtId="164" fontId="8" fillId="3" borderId="6" xfId="4" applyNumberFormat="1" applyFont="1" applyFill="1" applyBorder="1" applyAlignment="1" applyProtection="1">
      <alignment horizontal="center" wrapText="1"/>
    </xf>
    <xf numFmtId="164" fontId="8" fillId="0" borderId="6" xfId="4" applyNumberFormat="1" applyFont="1" applyFill="1" applyBorder="1" applyAlignment="1" applyProtection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5" borderId="16" xfId="3" applyNumberFormat="1" applyFont="1" applyFill="1" applyBorder="1" applyAlignment="1" applyProtection="1">
      <alignment horizontal="center"/>
    </xf>
    <xf numFmtId="0" fontId="9" fillId="5" borderId="0" xfId="3" applyNumberFormat="1" applyFont="1" applyFill="1" applyBorder="1" applyAlignment="1" applyProtection="1">
      <alignment horizontal="center"/>
    </xf>
    <xf numFmtId="0" fontId="9" fillId="5" borderId="4" xfId="3" applyNumberFormat="1" applyFont="1" applyFill="1" applyBorder="1" applyAlignment="1" applyProtection="1">
      <alignment horizontal="center"/>
    </xf>
    <xf numFmtId="0" fontId="6" fillId="0" borderId="0" xfId="8" applyNumberFormat="1" applyFill="1" applyBorder="1" applyAlignment="1" applyProtection="1">
      <alignment horizontal="left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left"/>
    </xf>
    <xf numFmtId="0" fontId="44" fillId="3" borderId="0" xfId="3" applyNumberFormat="1" applyFont="1" applyFill="1" applyBorder="1" applyAlignment="1" applyProtection="1">
      <alignment horizontal="left" wrapText="1"/>
    </xf>
    <xf numFmtId="0" fontId="46" fillId="0" borderId="0" xfId="0" applyFont="1" applyAlignment="1">
      <alignment horizontal="left" vertical="top" wrapText="1"/>
    </xf>
    <xf numFmtId="0" fontId="13" fillId="4" borderId="16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wrapText="1"/>
    </xf>
    <xf numFmtId="0" fontId="6" fillId="2" borderId="0" xfId="8" applyFill="1" applyBorder="1" applyAlignment="1">
      <alignment wrapText="1"/>
    </xf>
    <xf numFmtId="0" fontId="6" fillId="2" borderId="0" xfId="8" applyNumberFormat="1" applyFill="1" applyBorder="1" applyAlignment="1" applyProtection="1">
      <alignment wrapText="1"/>
    </xf>
    <xf numFmtId="0" fontId="10" fillId="2" borderId="0" xfId="8" applyNumberFormat="1" applyFont="1" applyFill="1" applyBorder="1" applyAlignment="1" applyProtection="1">
      <alignment wrapText="1"/>
    </xf>
    <xf numFmtId="0" fontId="26" fillId="2" borderId="0" xfId="9" applyFont="1" applyFill="1" applyBorder="1" applyAlignment="1">
      <alignment wrapText="1"/>
    </xf>
    <xf numFmtId="0" fontId="8" fillId="2" borderId="0" xfId="9" applyFont="1" applyFill="1" applyBorder="1" applyAlignment="1">
      <alignment wrapText="1"/>
    </xf>
    <xf numFmtId="0" fontId="27" fillId="2" borderId="0" xfId="8" applyNumberFormat="1" applyFont="1" applyFill="1" applyBorder="1" applyAlignment="1" applyProtection="1">
      <alignment wrapText="1"/>
    </xf>
    <xf numFmtId="0" fontId="6" fillId="2" borderId="0" xfId="8" applyFill="1" applyBorder="1" applyAlignment="1">
      <alignment horizontal="left" wrapText="1"/>
    </xf>
    <xf numFmtId="0" fontId="10" fillId="2" borderId="0" xfId="8" applyNumberFormat="1" applyFont="1" applyFill="1" applyBorder="1" applyAlignment="1" applyProtection="1">
      <alignment horizontal="left" wrapText="1"/>
    </xf>
    <xf numFmtId="0" fontId="17" fillId="3" borderId="10" xfId="3" applyNumberFormat="1" applyFont="1" applyFill="1" applyBorder="1" applyAlignment="1" applyProtection="1">
      <alignment horizontal="center" wrapText="1"/>
    </xf>
  </cellXfs>
  <cellStyles count="11">
    <cellStyle name="fa_column_header_empty" xfId="2"/>
    <cellStyle name="fa_data_bold_1_grouped" xfId="6"/>
    <cellStyle name="fa_data_standard_0_grouped" xfId="7"/>
    <cellStyle name="fa_data_standard_1_grouped" xfId="4"/>
    <cellStyle name="fa_row_header_bold 2" xfId="5"/>
    <cellStyle name="fa_row_header_standard 2" xfId="3"/>
    <cellStyle name="Гиперссылка" xfId="8" builtinId="8"/>
    <cellStyle name="Обычный" xfId="0" builtinId="0"/>
    <cellStyle name="Обычный 2" xfId="1"/>
    <cellStyle name="Обычный 3" xfId="9"/>
    <cellStyle name="Процентный" xfId="10" builtinId="5"/>
  </cellStyles>
  <dxfs count="0"/>
  <tableStyles count="0" defaultTableStyle="TableStyleMedium2" defaultPivotStyle="PivotStyleLight16"/>
  <colors>
    <mruColors>
      <color rgb="FF2176C3"/>
      <color rgb="FF2175C1"/>
      <color rgb="FF0099FF"/>
      <color rgb="FF207DCF"/>
      <color rgb="FF336699"/>
      <color rgb="FF6D94C3"/>
      <color rgb="FF5B9BD5"/>
      <color rgb="FF0099CC"/>
      <color rgb="FF3399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3</xdr:row>
      <xdr:rowOff>152400</xdr:rowOff>
    </xdr:from>
    <xdr:to>
      <xdr:col>15</xdr:col>
      <xdr:colOff>490059</xdr:colOff>
      <xdr:row>6</xdr:row>
      <xdr:rowOff>132337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800100"/>
          <a:ext cx="1518759" cy="589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33844</xdr:rowOff>
    </xdr:from>
    <xdr:to>
      <xdr:col>2</xdr:col>
      <xdr:colOff>385567</xdr:colOff>
      <xdr:row>3</xdr:row>
      <xdr:rowOff>12062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00519"/>
          <a:ext cx="838685" cy="559243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9;&#1050;&#1080;&#1051;/&#1092;&#1086;&#1088;&#1084;&#1072;&#1090;%20%20&#1087;&#1086;%20&#1050;&#1086;&#1084;&#1087;&#1072;&#1085;&#1080;&#1080;/&#1054;&#1058;&#1063;&#1045;&#1058;&#1067;_2016/&#1050;&#1072;&#1088;&#1090;&#1086;&#1090;&#1077;&#1082;&#1072;/&#1050;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9;&#1050;&#1080;&#1051;/&#1041;&#1102;&#1076;&#1078;&#1077;&#1090;%202018/&#1043;&#1086;&#1076;&#1086;&#1074;&#1086;&#1081;_&#1086;&#1090;&#1095;&#1077;&#1090;_2017/&#1050;&#1057;&#1054;/&#1062;&#1077;&#1085;&#1090;&#1088;&#1072;&#1083;&#1080;&#1079;&#1086;&#1074;&#1072;&#1085;&#1085;&#1099;&#1077;%20&#1092;&#1086;&#1088;&#108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фев"/>
      <sheetName val="2мес"/>
      <sheetName val="март"/>
      <sheetName val="1кв"/>
      <sheetName val="апрель"/>
      <sheetName val="4мес"/>
      <sheetName val="май"/>
      <sheetName val="5мес"/>
      <sheetName val="июнь"/>
      <sheetName val="2кв"/>
      <sheetName val="6мес"/>
      <sheetName val="июль"/>
      <sheetName val="7мес"/>
      <sheetName val="авг"/>
      <sheetName val="8мес"/>
      <sheetName val="сент"/>
      <sheetName val="3кв"/>
      <sheetName val="9мес"/>
      <sheetName val="окт"/>
      <sheetName val="10мес"/>
      <sheetName val="ноябрь"/>
      <sheetName val="11мес"/>
      <sheetName val="дек"/>
      <sheetName val="4кв"/>
      <sheetName val="2полуг"/>
      <sheetName val="ГОД"/>
      <sheetName val="Лист2"/>
      <sheetName val="КСО_рассылк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O5">
            <v>23553.046000249989</v>
          </cell>
        </row>
        <row r="39">
          <cell r="O39">
            <v>0.16666666666666666</v>
          </cell>
        </row>
        <row r="44">
          <cell r="O44">
            <v>60.5</v>
          </cell>
        </row>
        <row r="139">
          <cell r="O139">
            <v>12972.967688172042</v>
          </cell>
        </row>
        <row r="141">
          <cell r="O141">
            <v>7224.9666240423394</v>
          </cell>
        </row>
      </sheetData>
      <sheetData sheetId="27" refreshError="1"/>
      <sheetData sheetId="28" refreshError="1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вспом отчетов (Приказ)"/>
      <sheetName val="SDLA0001"/>
      <sheetName val="SDLA0002"/>
      <sheetName val="SDLA0003"/>
      <sheetName val="ПЕРС-4(Ц)"/>
      <sheetName val="DLA0001.1"/>
      <sheetName val="DLA0001.2"/>
      <sheetName val="DLA0001.3"/>
      <sheetName val="DLA0001.4"/>
      <sheetName val="DLA0003"/>
      <sheetName val="DLA0004"/>
      <sheetName val="DLA0004.1"/>
      <sheetName val="DLA0004.2"/>
      <sheetName val="DLA0004.3"/>
      <sheetName val="DLA0004.4"/>
      <sheetName val="DLA0004.5"/>
      <sheetName val="DLA0005"/>
      <sheetName val="DLA0009"/>
      <sheetName val="DLA0010"/>
      <sheetName val="DLA0011"/>
      <sheetName val="DLA0012"/>
      <sheetName val="DLA0017"/>
      <sheetName val="DLA0002.1"/>
      <sheetName val="DLA000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0">
          <cell r="E20">
            <v>10.325587815027081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rnickel.com/files/en/corporate_documents/policies/Biodiversity_Policy.pdf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nornickel.com/files/en/corporate_documents/policies/Quality_Policy_271117.pdf" TargetMode="External"/><Relationship Id="rId1" Type="http://schemas.openxmlformats.org/officeDocument/2006/relationships/hyperlink" Target="https://www.nornickel.com/files/en/corporate_documents/policies/Environmental_Policy_271117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nornickel.com/files/en/corporate_documents/policies/Renewable_Energy_Sources_Policy.pdf" TargetMode="External"/><Relationship Id="rId4" Type="http://schemas.openxmlformats.org/officeDocument/2006/relationships/hyperlink" Target="https://www.nornickel.com/files/en/corporate_documents/policies/Environmental_Impact_Assessment_Policy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nornickel.com/files/en/corporate_documents/constituent_documents/Human-Rights_Policy_271117.pdf" TargetMode="External"/><Relationship Id="rId7" Type="http://schemas.openxmlformats.org/officeDocument/2006/relationships/hyperlink" Target="https://www.nornickel.com/files/en/corporate_documents/constituent_documents/Working-Conditions_Policy-en-new.pdf" TargetMode="External"/><Relationship Id="rId2" Type="http://schemas.openxmlformats.org/officeDocument/2006/relationships/hyperlink" Target="https://www.nornickel.com/files/en/corporate_documents/constituent_documents/Freedom-of_Association-Policy_271117.pdf" TargetMode="External"/><Relationship Id="rId1" Type="http://schemas.openxmlformats.org/officeDocument/2006/relationships/hyperlink" Target="https://www.nornickel.com/files/en/corporate_documents/constituent_documents/Equal_Opportonities-Programme.pdf" TargetMode="External"/><Relationship Id="rId6" Type="http://schemas.openxmlformats.org/officeDocument/2006/relationships/hyperlink" Target="https://www.nornickel.com/files/en/corporate_documents/constituent_documents/Occupational_health_and_safety_policy-eng.pdf" TargetMode="External"/><Relationship Id="rId5" Type="http://schemas.openxmlformats.org/officeDocument/2006/relationships/hyperlink" Target="https://www.nornickel.com/files/en/corporate_documents/constituent_documents/Local_Community_Relations-Policy_271117.pdf" TargetMode="External"/><Relationship Id="rId4" Type="http://schemas.openxmlformats.org/officeDocument/2006/relationships/hyperlink" Target="https://www.nornickel.com/files/en/corporate_documents/policies/Indigenous_Rights_Policy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ornickel.com/files/en/corporate_documents/constituent_documents/REMUNERATION-POLICY-for-MEMBERS-OF-BOARD-OF-DIRECTORS-.pdf" TargetMode="External"/><Relationship Id="rId13" Type="http://schemas.openxmlformats.org/officeDocument/2006/relationships/hyperlink" Target="https://www.nornickel.com/files/en/corporate_documents/constituent_documents/Dividend%20Policy_NN.pdf" TargetMode="External"/><Relationship Id="rId3" Type="http://schemas.openxmlformats.org/officeDocument/2006/relationships/hyperlink" Target="https://www.nornickel.com/files/en/corporate_documents/constituent_documents/Regulations-AGM-2014(1).pdf" TargetMode="External"/><Relationship Id="rId7" Type="http://schemas.openxmlformats.org/officeDocument/2006/relationships/hyperlink" Target="https://www.nornickel.com/files/en/corporate_documents/constituent_documents/Board-Performance-Evaluation-Policy.pdf" TargetMode="External"/><Relationship Id="rId12" Type="http://schemas.openxmlformats.org/officeDocument/2006/relationships/hyperlink" Target="https://www.nornickel.com/files/en/corporate_documents/constituent_documents/file1265.pdf" TargetMode="External"/><Relationship Id="rId2" Type="http://schemas.openxmlformats.org/officeDocument/2006/relationships/hyperlink" Target="https://www.nornickel.com/files/en/corporate_documents/policies/business_ethics_code.pdf" TargetMode="External"/><Relationship Id="rId16" Type="http://schemas.openxmlformats.org/officeDocument/2006/relationships/printerSettings" Target="../printerSettings/printerSettings4.bin"/><Relationship Id="rId1" Type="http://schemas.openxmlformats.org/officeDocument/2006/relationships/hyperlink" Target="https://www.nornickel.com/files/en/corporate_documents/constituent_documents/Annex-ARTICLES-OF-ASSOCIATION.pdf" TargetMode="External"/><Relationship Id="rId6" Type="http://schemas.openxmlformats.org/officeDocument/2006/relationships/hyperlink" Target="https://www.nornickel.com/files/en/corporate_documents/constituent_documents/2014.11.10_Induction-and-Continuing-Education-Policy_ENG_Final_Draft.pdf" TargetMode="External"/><Relationship Id="rId11" Type="http://schemas.openxmlformats.org/officeDocument/2006/relationships/hyperlink" Target="https://www.nornickel.com/files/en/corporate_documents/constituent_documents/CGNandR-Committee-Terms-of-Reference.pdf" TargetMode="External"/><Relationship Id="rId5" Type="http://schemas.openxmlformats.org/officeDocument/2006/relationships/hyperlink" Target="https://www.nornickel.com/files/en/corporate_documents/constituent_documents/NN_Code-of-Conduct-and-Ethics---sajt.pdf" TargetMode="External"/><Relationship Id="rId15" Type="http://schemas.openxmlformats.org/officeDocument/2006/relationships/hyperlink" Target="https://www.nornickel.com/files/en/corporate_documents/policies/Antitrust-Compliance_Policy_201017.pdf" TargetMode="External"/><Relationship Id="rId10" Type="http://schemas.openxmlformats.org/officeDocument/2006/relationships/hyperlink" Target="https://www.nornickel.com/files/en/corporate_documents/constituent_documents/regulation_on_audit_and_sustainable_development_commitee.pdf" TargetMode="External"/><Relationship Id="rId4" Type="http://schemas.openxmlformats.org/officeDocument/2006/relationships/hyperlink" Target="https://www.nornickel.com/files/en/corporate_documents/constituent_documents/file1264.pdf" TargetMode="External"/><Relationship Id="rId9" Type="http://schemas.openxmlformats.org/officeDocument/2006/relationships/hyperlink" Target="https://www.nornickel.com/files/en/corporate_documents/constituent_documents/file0040.pdf" TargetMode="External"/><Relationship Id="rId14" Type="http://schemas.openxmlformats.org/officeDocument/2006/relationships/hyperlink" Target="https://www.nornickel.com/files/en/corporate_documents/constituent_documents/Anti-Corruption_Policy_of_PJSC_MMC_Norilsk_Nick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176C3"/>
  </sheetPr>
  <dimension ref="A1:R38"/>
  <sheetViews>
    <sheetView showGridLines="0" tabSelected="1" zoomScaleNormal="100" zoomScaleSheetLayoutView="70" workbookViewId="0">
      <selection activeCell="D12" sqref="D12:F12"/>
    </sheetView>
  </sheetViews>
  <sheetFormatPr defaultColWidth="9.109375" defaultRowHeight="13.2" x14ac:dyDescent="0.25"/>
  <cols>
    <col min="1" max="1" width="5.33203125" style="102" customWidth="1"/>
    <col min="2" max="2" width="2.44140625" style="126" customWidth="1"/>
    <col min="3" max="3" width="3.88671875" style="126" customWidth="1"/>
    <col min="4" max="4" width="12" style="126" customWidth="1"/>
    <col min="5" max="5" width="9.109375" style="126"/>
    <col min="6" max="6" width="10.33203125" style="126" customWidth="1"/>
    <col min="7" max="15" width="9.109375" style="126"/>
    <col min="16" max="16" width="9.33203125" style="126" customWidth="1"/>
    <col min="17" max="17" width="2.5546875" style="126" customWidth="1"/>
    <col min="18" max="18" width="9.109375" style="126"/>
    <col min="19" max="16384" width="9.109375" style="3"/>
  </cols>
  <sheetData>
    <row r="1" spans="2:18" x14ac:dyDescent="0.25">
      <c r="Q1" s="145"/>
    </row>
    <row r="2" spans="2:18" x14ac:dyDescent="0.25">
      <c r="Q2" s="145"/>
      <c r="R2" s="145"/>
    </row>
    <row r="3" spans="2:18" s="102" customFormat="1" x14ac:dyDescent="0.25">
      <c r="B3" s="139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44"/>
    </row>
    <row r="4" spans="2:18" x14ac:dyDescent="0.25">
      <c r="B4" s="138"/>
      <c r="Q4" s="138"/>
    </row>
    <row r="5" spans="2:18" ht="22.2" x14ac:dyDescent="0.35">
      <c r="B5" s="138"/>
      <c r="C5" s="128" t="s">
        <v>144</v>
      </c>
      <c r="D5" s="133"/>
      <c r="Q5" s="138"/>
    </row>
    <row r="6" spans="2:18" x14ac:dyDescent="0.25">
      <c r="B6" s="138"/>
      <c r="Q6" s="138"/>
    </row>
    <row r="7" spans="2:18" x14ac:dyDescent="0.25">
      <c r="B7" s="138"/>
      <c r="Q7" s="138"/>
    </row>
    <row r="8" spans="2:18" x14ac:dyDescent="0.25">
      <c r="B8" s="103"/>
      <c r="C8" s="132"/>
      <c r="Q8" s="138"/>
    </row>
    <row r="9" spans="2:18" ht="15" x14ac:dyDescent="0.25">
      <c r="B9" s="103"/>
      <c r="D9" s="150" t="s">
        <v>159</v>
      </c>
      <c r="Q9" s="138"/>
    </row>
    <row r="10" spans="2:18" ht="15" x14ac:dyDescent="0.25">
      <c r="B10" s="103"/>
      <c r="C10" s="140"/>
      <c r="D10" s="389" t="s">
        <v>148</v>
      </c>
      <c r="E10" s="390"/>
      <c r="F10" s="391"/>
      <c r="G10" s="134"/>
      <c r="J10" s="384" t="s">
        <v>210</v>
      </c>
      <c r="Q10" s="138"/>
    </row>
    <row r="11" spans="2:18" ht="6" customHeight="1" x14ac:dyDescent="0.25">
      <c r="B11" s="103"/>
      <c r="C11" s="141"/>
      <c r="D11" s="135"/>
      <c r="E11" s="135"/>
      <c r="F11" s="135"/>
      <c r="G11" s="134"/>
      <c r="Q11" s="138"/>
    </row>
    <row r="12" spans="2:18" ht="15" x14ac:dyDescent="0.25">
      <c r="B12" s="103"/>
      <c r="C12" s="142"/>
      <c r="D12" s="389" t="s">
        <v>149</v>
      </c>
      <c r="E12" s="390"/>
      <c r="F12" s="391"/>
      <c r="G12" s="134"/>
      <c r="Q12" s="138"/>
    </row>
    <row r="13" spans="2:18" ht="6" customHeight="1" x14ac:dyDescent="0.25">
      <c r="B13" s="103"/>
      <c r="C13" s="141"/>
      <c r="D13" s="136"/>
      <c r="E13" s="137"/>
      <c r="F13" s="137"/>
      <c r="G13" s="134"/>
      <c r="Q13" s="138"/>
    </row>
    <row r="14" spans="2:18" ht="15" x14ac:dyDescent="0.25">
      <c r="B14" s="103"/>
      <c r="C14" s="142"/>
      <c r="D14" s="389" t="s">
        <v>150</v>
      </c>
      <c r="E14" s="390"/>
      <c r="F14" s="391"/>
      <c r="G14" s="134"/>
      <c r="Q14" s="138"/>
    </row>
    <row r="15" spans="2:18" ht="13.8" x14ac:dyDescent="0.25">
      <c r="B15" s="103"/>
      <c r="C15" s="141"/>
      <c r="D15" s="136"/>
      <c r="E15" s="137"/>
      <c r="F15" s="137"/>
      <c r="G15" s="134"/>
      <c r="Q15" s="138"/>
    </row>
    <row r="16" spans="2:18" ht="13.8" x14ac:dyDescent="0.25">
      <c r="B16" s="143"/>
      <c r="C16" s="141"/>
      <c r="D16" s="136"/>
      <c r="E16" s="137"/>
      <c r="F16" s="137"/>
      <c r="G16" s="134"/>
      <c r="Q16" s="138"/>
    </row>
    <row r="17" spans="2:17" x14ac:dyDescent="0.25">
      <c r="B17" s="103"/>
      <c r="Q17" s="138"/>
    </row>
    <row r="18" spans="2:17" x14ac:dyDescent="0.25">
      <c r="B18" s="138"/>
      <c r="Q18" s="138"/>
    </row>
    <row r="19" spans="2:17" ht="15" x14ac:dyDescent="0.25">
      <c r="B19" s="138"/>
      <c r="D19" s="129" t="s">
        <v>145</v>
      </c>
      <c r="Q19" s="138"/>
    </row>
    <row r="20" spans="2:17" ht="20.399999999999999" x14ac:dyDescent="0.35">
      <c r="B20" s="138"/>
      <c r="D20" s="130" t="s">
        <v>146</v>
      </c>
      <c r="E20" s="127"/>
      <c r="F20" s="127"/>
      <c r="G20" s="127"/>
      <c r="H20" s="127"/>
      <c r="Q20" s="138"/>
    </row>
    <row r="21" spans="2:17" ht="20.399999999999999" x14ac:dyDescent="0.35">
      <c r="B21" s="138"/>
      <c r="D21" s="130" t="s">
        <v>147</v>
      </c>
      <c r="E21" s="127"/>
      <c r="F21" s="127"/>
      <c r="G21" s="127"/>
      <c r="H21" s="127"/>
      <c r="Q21" s="138"/>
    </row>
    <row r="22" spans="2:17" ht="20.399999999999999" x14ac:dyDescent="0.35">
      <c r="B22" s="138"/>
      <c r="C22" s="127"/>
      <c r="D22" s="127"/>
      <c r="E22" s="127"/>
      <c r="F22" s="127"/>
      <c r="G22" s="127"/>
      <c r="H22" s="127"/>
      <c r="Q22" s="138"/>
    </row>
    <row r="23" spans="2:17" x14ac:dyDescent="0.25">
      <c r="B23" s="138"/>
      <c r="Q23" s="138"/>
    </row>
    <row r="24" spans="2:17" x14ac:dyDescent="0.25">
      <c r="B24" s="138"/>
      <c r="Q24" s="138"/>
    </row>
    <row r="25" spans="2:17" x14ac:dyDescent="0.25">
      <c r="B25" s="138"/>
      <c r="Q25" s="138"/>
    </row>
    <row r="26" spans="2:17" ht="20.399999999999999" x14ac:dyDescent="0.35">
      <c r="B26" s="138"/>
      <c r="C26" s="131"/>
      <c r="D26" s="127"/>
      <c r="E26" s="127"/>
      <c r="F26" s="127"/>
      <c r="G26" s="127"/>
      <c r="H26" s="127"/>
      <c r="Q26" s="138"/>
    </row>
    <row r="27" spans="2:17" x14ac:dyDescent="0.25">
      <c r="B27" s="138"/>
      <c r="Q27" s="138"/>
    </row>
    <row r="28" spans="2:17" x14ac:dyDescent="0.25">
      <c r="B28" s="138"/>
      <c r="Q28" s="138"/>
    </row>
    <row r="29" spans="2:17" x14ac:dyDescent="0.25">
      <c r="B29" s="138"/>
      <c r="Q29" s="138"/>
    </row>
    <row r="30" spans="2:17" x14ac:dyDescent="0.25">
      <c r="B30" s="138"/>
      <c r="Q30" s="138"/>
    </row>
    <row r="31" spans="2:17" x14ac:dyDescent="0.25">
      <c r="B31" s="138"/>
      <c r="Q31" s="138"/>
    </row>
    <row r="32" spans="2:17" x14ac:dyDescent="0.25">
      <c r="B32" s="138"/>
      <c r="Q32" s="138"/>
    </row>
    <row r="33" spans="2:17" x14ac:dyDescent="0.25">
      <c r="B33" s="138"/>
      <c r="Q33" s="138"/>
    </row>
    <row r="34" spans="2:17" x14ac:dyDescent="0.25">
      <c r="B34" s="138"/>
      <c r="Q34" s="138"/>
    </row>
    <row r="35" spans="2:17" x14ac:dyDescent="0.25">
      <c r="B35" s="138"/>
      <c r="Q35" s="138"/>
    </row>
    <row r="36" spans="2:17" x14ac:dyDescent="0.25">
      <c r="B36" s="138"/>
      <c r="Q36" s="138"/>
    </row>
    <row r="37" spans="2:17" x14ac:dyDescent="0.25">
      <c r="B37" s="138"/>
      <c r="Q37" s="138"/>
    </row>
    <row r="38" spans="2:17" x14ac:dyDescent="0.25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</row>
  </sheetData>
  <mergeCells count="3">
    <mergeCell ref="D12:F12"/>
    <mergeCell ref="D10:F10"/>
    <mergeCell ref="D14:F14"/>
  </mergeCells>
  <hyperlinks>
    <hyperlink ref="D14" location="'Stock charts'!A1" display="STOCK CHARTS"/>
    <hyperlink ref="D10" location="'Summary result '!A1" display="SUMMARY RESULT"/>
    <hyperlink ref="D12" location="'Price performance'!A1" display="PRICE PERFORMANCE"/>
    <hyperlink ref="D10:F10" location="ENVIRONMENT!A1" display="ENVIRONMENT"/>
    <hyperlink ref="D12:F12" location="SOCIAL!A1" display="SOCIAL"/>
    <hyperlink ref="D14:F14" location="GOVERNANCE!A1" display="GOVERNANCE"/>
  </hyperlink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176C3"/>
  </sheetPr>
  <dimension ref="A1:N162"/>
  <sheetViews>
    <sheetView showGridLines="0" zoomScaleNormal="100" zoomScaleSheetLayoutView="100" workbookViewId="0">
      <pane xSplit="2" ySplit="3" topLeftCell="C106" activePane="bottomRight" state="frozen"/>
      <selection pane="topRight" activeCell="C1" sqref="C1"/>
      <selection pane="bottomLeft" activeCell="A4" sqref="A4"/>
      <selection pane="bottomRight" activeCell="O105" sqref="O105"/>
    </sheetView>
  </sheetViews>
  <sheetFormatPr defaultRowHeight="14.4" x14ac:dyDescent="0.3"/>
  <cols>
    <col min="1" max="1" width="53.88671875" customWidth="1"/>
    <col min="2" max="2" width="15.5546875" bestFit="1" customWidth="1"/>
    <col min="3" max="7" width="7" bestFit="1" customWidth="1"/>
    <col min="8" max="10" width="8.88671875" bestFit="1" customWidth="1"/>
    <col min="11" max="11" width="8.77734375" bestFit="1" customWidth="1"/>
    <col min="12" max="12" width="8.88671875" bestFit="1" customWidth="1"/>
  </cols>
  <sheetData>
    <row r="1" spans="1:12" ht="15.75" customHeight="1" x14ac:dyDescent="0.3">
      <c r="A1" s="399" t="s">
        <v>174</v>
      </c>
      <c r="B1" s="400" t="s">
        <v>17</v>
      </c>
      <c r="C1" s="392">
        <v>2010</v>
      </c>
      <c r="D1" s="392">
        <v>2011</v>
      </c>
      <c r="E1" s="392">
        <v>2012</v>
      </c>
      <c r="F1" s="392">
        <v>2013</v>
      </c>
      <c r="G1" s="392">
        <v>2014</v>
      </c>
      <c r="H1" s="392">
        <v>2015</v>
      </c>
      <c r="I1" s="392">
        <v>2016</v>
      </c>
      <c r="J1" s="392">
        <v>2017</v>
      </c>
      <c r="K1" s="392">
        <v>2018</v>
      </c>
      <c r="L1" s="403">
        <v>2019</v>
      </c>
    </row>
    <row r="2" spans="1:12" ht="15.75" customHeight="1" x14ac:dyDescent="0.3">
      <c r="A2" s="399"/>
      <c r="B2" s="400"/>
      <c r="C2" s="392"/>
      <c r="D2" s="392"/>
      <c r="E2" s="392"/>
      <c r="F2" s="392"/>
      <c r="G2" s="392"/>
      <c r="H2" s="392"/>
      <c r="I2" s="392"/>
      <c r="J2" s="392"/>
      <c r="K2" s="392"/>
      <c r="L2" s="403"/>
    </row>
    <row r="3" spans="1:12" ht="15.75" customHeight="1" x14ac:dyDescent="0.3">
      <c r="A3" s="399"/>
      <c r="B3" s="400"/>
      <c r="C3" s="392"/>
      <c r="D3" s="392"/>
      <c r="E3" s="392"/>
      <c r="F3" s="392"/>
      <c r="G3" s="392"/>
      <c r="H3" s="392"/>
      <c r="I3" s="392"/>
      <c r="J3" s="392"/>
      <c r="K3" s="392"/>
      <c r="L3" s="403"/>
    </row>
    <row r="4" spans="1:12" ht="5.25" customHeight="1" x14ac:dyDescent="0.3">
      <c r="A4" s="183"/>
      <c r="B4" s="184"/>
      <c r="C4" s="79"/>
      <c r="D4" s="79"/>
      <c r="E4" s="79"/>
      <c r="F4" s="79"/>
      <c r="G4" s="79"/>
      <c r="H4" s="79"/>
      <c r="I4" s="79"/>
      <c r="J4" s="79"/>
      <c r="K4" s="79"/>
      <c r="L4" s="17"/>
    </row>
    <row r="5" spans="1:12" x14ac:dyDescent="0.3">
      <c r="A5" s="180" t="s">
        <v>5</v>
      </c>
      <c r="B5" s="185"/>
      <c r="C5" s="27"/>
      <c r="D5" s="27"/>
      <c r="E5" s="27"/>
      <c r="F5" s="27"/>
      <c r="G5" s="27"/>
      <c r="H5" s="27"/>
      <c r="I5" s="27"/>
      <c r="J5" s="27"/>
      <c r="K5" s="173"/>
      <c r="L5" s="177"/>
    </row>
    <row r="6" spans="1:12" ht="8.25" customHeight="1" x14ac:dyDescent="0.3">
      <c r="A6" s="182"/>
      <c r="B6" s="32"/>
      <c r="C6" s="9"/>
      <c r="D6" s="9"/>
      <c r="E6" s="9"/>
      <c r="F6" s="9"/>
      <c r="G6" s="9"/>
      <c r="H6" s="9"/>
      <c r="I6" s="9"/>
      <c r="J6" s="9"/>
      <c r="K6" s="9"/>
      <c r="L6" s="260"/>
    </row>
    <row r="7" spans="1:12" ht="15" x14ac:dyDescent="0.3">
      <c r="A7" s="64" t="s">
        <v>254</v>
      </c>
      <c r="B7" s="48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3">
      <c r="A8" s="81" t="s">
        <v>64</v>
      </c>
      <c r="B8" s="267" t="s">
        <v>8</v>
      </c>
      <c r="C8" s="268">
        <v>2088.13</v>
      </c>
      <c r="D8" s="269">
        <v>2103.69</v>
      </c>
      <c r="E8" s="269">
        <v>2097.58</v>
      </c>
      <c r="F8" s="269">
        <v>2097.09</v>
      </c>
      <c r="G8" s="269">
        <f>G14+G20+G26</f>
        <v>2008.33</v>
      </c>
      <c r="H8" s="269">
        <v>2063.52</v>
      </c>
      <c r="I8" s="269">
        <v>1936.44</v>
      </c>
      <c r="J8" s="270">
        <v>1846.8</v>
      </c>
      <c r="K8" s="269">
        <f t="shared" ref="K8" si="0">K14+K20+K26</f>
        <v>1926.634</v>
      </c>
      <c r="L8" s="270">
        <f>L14+L20+L26</f>
        <v>1952.6574250000001</v>
      </c>
    </row>
    <row r="9" spans="1:12" s="99" customFormat="1" x14ac:dyDescent="0.3">
      <c r="A9" s="229" t="s">
        <v>211</v>
      </c>
      <c r="B9" s="271" t="s">
        <v>8</v>
      </c>
      <c r="C9" s="272">
        <v>2022.87</v>
      </c>
      <c r="D9" s="273">
        <v>2046.15</v>
      </c>
      <c r="E9" s="273">
        <v>2044.21</v>
      </c>
      <c r="F9" s="273">
        <v>2032.85</v>
      </c>
      <c r="G9" s="231">
        <f>G15+G21+G27</f>
        <v>1947.58</v>
      </c>
      <c r="H9" s="273">
        <v>2009.11</v>
      </c>
      <c r="I9" s="273">
        <v>1877.97</v>
      </c>
      <c r="J9" s="231">
        <f t="shared" ref="J9:L12" si="1">J15+J21+J27</f>
        <v>1785.007916</v>
      </c>
      <c r="K9" s="231">
        <f t="shared" si="1"/>
        <v>1869.604</v>
      </c>
      <c r="L9" s="231">
        <f t="shared" si="1"/>
        <v>1898.1372860000001</v>
      </c>
    </row>
    <row r="10" spans="1:12" s="99" customFormat="1" x14ac:dyDescent="0.3">
      <c r="A10" s="229" t="s">
        <v>59</v>
      </c>
      <c r="B10" s="271" t="s">
        <v>8</v>
      </c>
      <c r="C10" s="274">
        <v>11.16</v>
      </c>
      <c r="D10" s="235">
        <v>9.83</v>
      </c>
      <c r="E10" s="235">
        <v>9.52</v>
      </c>
      <c r="F10" s="235">
        <v>12.13</v>
      </c>
      <c r="G10" s="232">
        <f>G16+G22+G28</f>
        <v>11.530000000000001</v>
      </c>
      <c r="H10" s="235">
        <v>9.84</v>
      </c>
      <c r="I10" s="235">
        <v>10.119999999999999</v>
      </c>
      <c r="J10" s="232">
        <f t="shared" si="1"/>
        <v>11.494</v>
      </c>
      <c r="K10" s="232">
        <f t="shared" si="1"/>
        <v>11.246</v>
      </c>
      <c r="L10" s="231">
        <f t="shared" si="1"/>
        <v>10.312899999999999</v>
      </c>
    </row>
    <row r="11" spans="1:12" s="99" customFormat="1" x14ac:dyDescent="0.3">
      <c r="A11" s="229" t="s">
        <v>60</v>
      </c>
      <c r="B11" s="271" t="s">
        <v>8</v>
      </c>
      <c r="C11" s="274">
        <v>21.68</v>
      </c>
      <c r="D11" s="235">
        <v>21.16</v>
      </c>
      <c r="E11" s="274">
        <v>19.2</v>
      </c>
      <c r="F11" s="235">
        <v>20.63</v>
      </c>
      <c r="G11" s="235">
        <v>23.1</v>
      </c>
      <c r="H11" s="235">
        <v>20.67</v>
      </c>
      <c r="I11" s="274">
        <v>14.3</v>
      </c>
      <c r="J11" s="233">
        <f t="shared" si="1"/>
        <v>14.011000000000001</v>
      </c>
      <c r="K11" s="233">
        <f t="shared" si="1"/>
        <v>14.536000000000001</v>
      </c>
      <c r="L11" s="231">
        <f t="shared" si="1"/>
        <v>13.305473000000001</v>
      </c>
    </row>
    <row r="12" spans="1:12" s="99" customFormat="1" x14ac:dyDescent="0.3">
      <c r="A12" s="229" t="s">
        <v>121</v>
      </c>
      <c r="B12" s="271" t="s">
        <v>8</v>
      </c>
      <c r="C12" s="274">
        <v>32.420000000000222</v>
      </c>
      <c r="D12" s="235">
        <v>26.549999999999965</v>
      </c>
      <c r="E12" s="274">
        <v>24.649999999999896</v>
      </c>
      <c r="F12" s="235">
        <v>31.480000000000235</v>
      </c>
      <c r="G12" s="235">
        <f>G18+G24+G30</f>
        <v>26.179999999999861</v>
      </c>
      <c r="H12" s="235">
        <v>23.900000000000077</v>
      </c>
      <c r="I12" s="235">
        <v>34.050000000000026</v>
      </c>
      <c r="J12" s="232">
        <f t="shared" si="1"/>
        <v>36.286083999999818</v>
      </c>
      <c r="K12" s="232">
        <f t="shared" si="1"/>
        <v>31.285</v>
      </c>
      <c r="L12" s="231">
        <v>30.901747</v>
      </c>
    </row>
    <row r="13" spans="1:12" x14ac:dyDescent="0.3">
      <c r="A13" s="64" t="s">
        <v>167</v>
      </c>
      <c r="B13" s="275"/>
      <c r="C13" s="404"/>
      <c r="D13" s="405"/>
      <c r="E13" s="405"/>
      <c r="F13" s="405"/>
      <c r="G13" s="405"/>
      <c r="H13" s="405"/>
      <c r="I13" s="405"/>
      <c r="J13" s="405"/>
      <c r="K13" s="405"/>
      <c r="L13" s="406"/>
    </row>
    <row r="14" spans="1:12" x14ac:dyDescent="0.3">
      <c r="A14" s="81" t="s">
        <v>64</v>
      </c>
      <c r="B14" s="276" t="s">
        <v>8</v>
      </c>
      <c r="C14" s="268">
        <v>1915.04</v>
      </c>
      <c r="D14" s="269">
        <v>1946.2</v>
      </c>
      <c r="E14" s="269">
        <v>1938.49</v>
      </c>
      <c r="F14" s="269">
        <v>1912.03</v>
      </c>
      <c r="G14" s="270">
        <v>1828.09</v>
      </c>
      <c r="H14" s="269">
        <v>1883.24</v>
      </c>
      <c r="I14" s="269">
        <v>1787.57</v>
      </c>
      <c r="J14" s="269">
        <v>1705.0029999999999</v>
      </c>
      <c r="K14" s="269">
        <v>1789.008</v>
      </c>
      <c r="L14" s="269">
        <f>1819175.993/1000</f>
        <v>1819.1759930000001</v>
      </c>
    </row>
    <row r="15" spans="1:12" s="99" customFormat="1" x14ac:dyDescent="0.3">
      <c r="A15" s="229" t="s">
        <v>211</v>
      </c>
      <c r="B15" s="271" t="s">
        <v>8</v>
      </c>
      <c r="C15" s="272">
        <v>1880.83</v>
      </c>
      <c r="D15" s="273">
        <v>1911.71</v>
      </c>
      <c r="E15" s="273">
        <v>1908.01</v>
      </c>
      <c r="F15" s="273">
        <v>1881.06</v>
      </c>
      <c r="G15" s="231">
        <v>1797.18</v>
      </c>
      <c r="H15" s="273">
        <v>1853.92</v>
      </c>
      <c r="I15" s="273">
        <v>1758.18</v>
      </c>
      <c r="J15" s="273">
        <v>1675.8510000000001</v>
      </c>
      <c r="K15" s="273">
        <v>1764.65</v>
      </c>
      <c r="L15" s="273">
        <f>1798638.854/1000</f>
        <v>1798.638854</v>
      </c>
    </row>
    <row r="16" spans="1:12" s="99" customFormat="1" x14ac:dyDescent="0.3">
      <c r="A16" s="229" t="s">
        <v>59</v>
      </c>
      <c r="B16" s="271" t="s">
        <v>8</v>
      </c>
      <c r="C16" s="274">
        <v>1.64</v>
      </c>
      <c r="D16" s="235">
        <v>1.65</v>
      </c>
      <c r="E16" s="235">
        <v>1.43</v>
      </c>
      <c r="F16" s="235">
        <v>1.57</v>
      </c>
      <c r="G16" s="232">
        <v>1.61</v>
      </c>
      <c r="H16" s="235">
        <v>1.64</v>
      </c>
      <c r="I16" s="235">
        <v>1.52</v>
      </c>
      <c r="J16" s="235">
        <v>1.5580000000000001</v>
      </c>
      <c r="K16" s="235">
        <v>0.6</v>
      </c>
      <c r="L16" s="235">
        <f>548.696/1000</f>
        <v>0.54869600000000007</v>
      </c>
    </row>
    <row r="17" spans="1:12" s="99" customFormat="1" x14ac:dyDescent="0.3">
      <c r="A17" s="229" t="s">
        <v>60</v>
      </c>
      <c r="B17" s="271" t="s">
        <v>8</v>
      </c>
      <c r="C17" s="274">
        <v>11.03</v>
      </c>
      <c r="D17" s="235">
        <v>10.59</v>
      </c>
      <c r="E17" s="235">
        <v>8.89</v>
      </c>
      <c r="F17" s="235">
        <v>9.98</v>
      </c>
      <c r="G17" s="232">
        <v>9.68</v>
      </c>
      <c r="H17" s="235">
        <v>8.9499999999999993</v>
      </c>
      <c r="I17" s="274">
        <v>6.18</v>
      </c>
      <c r="J17" s="274">
        <v>6.0579999999999998</v>
      </c>
      <c r="K17" s="274">
        <v>5.5460000000000003</v>
      </c>
      <c r="L17" s="274">
        <f>4209.325/1000</f>
        <v>4.2093249999999998</v>
      </c>
    </row>
    <row r="18" spans="1:12" s="99" customFormat="1" x14ac:dyDescent="0.3">
      <c r="A18" s="229" t="s">
        <v>121</v>
      </c>
      <c r="B18" s="271" t="s">
        <v>8</v>
      </c>
      <c r="C18" s="274">
        <f t="shared" ref="C18:I18" si="2">C14-C15-C16-C17</f>
        <v>21.540000000000035</v>
      </c>
      <c r="D18" s="235">
        <f t="shared" si="2"/>
        <v>22.250000000000011</v>
      </c>
      <c r="E18" s="235">
        <f t="shared" si="2"/>
        <v>20.160000000000018</v>
      </c>
      <c r="F18" s="235">
        <f t="shared" si="2"/>
        <v>19.420000000000027</v>
      </c>
      <c r="G18" s="232">
        <f t="shared" si="2"/>
        <v>19.619999999999855</v>
      </c>
      <c r="H18" s="235">
        <f t="shared" si="2"/>
        <v>18.729999999999936</v>
      </c>
      <c r="I18" s="235">
        <f t="shared" si="2"/>
        <v>21.689999999999873</v>
      </c>
      <c r="J18" s="235">
        <f>J14-J15-J16-J17</f>
        <v>21.535999999999817</v>
      </c>
      <c r="K18" s="235">
        <v>18.2</v>
      </c>
      <c r="L18" s="235">
        <f>15779.119/1000</f>
        <v>15.779119000000001</v>
      </c>
    </row>
    <row r="19" spans="1:12" x14ac:dyDescent="0.3">
      <c r="A19" s="64" t="s">
        <v>168</v>
      </c>
      <c r="B19" s="275"/>
      <c r="C19" s="404"/>
      <c r="D19" s="405"/>
      <c r="E19" s="405"/>
      <c r="F19" s="405"/>
      <c r="G19" s="405"/>
      <c r="H19" s="405"/>
      <c r="I19" s="405"/>
      <c r="J19" s="405"/>
      <c r="K19" s="405"/>
      <c r="L19" s="406"/>
    </row>
    <row r="20" spans="1:12" x14ac:dyDescent="0.3">
      <c r="A20" s="81" t="s">
        <v>64</v>
      </c>
      <c r="B20" s="276" t="s">
        <v>8</v>
      </c>
      <c r="C20" s="277">
        <v>154.76</v>
      </c>
      <c r="D20" s="234">
        <v>147.37</v>
      </c>
      <c r="E20" s="277">
        <v>148.58000000000001</v>
      </c>
      <c r="F20" s="277">
        <v>164.62</v>
      </c>
      <c r="G20" s="277">
        <f t="shared" ref="G20" si="3">G21+G22+G23+G24</f>
        <v>165.44</v>
      </c>
      <c r="H20" s="277">
        <v>169.79</v>
      </c>
      <c r="I20" s="277">
        <v>132.9</v>
      </c>
      <c r="J20" s="277">
        <v>121.88</v>
      </c>
      <c r="K20" s="277">
        <v>117.45099999999999</v>
      </c>
      <c r="L20" s="277">
        <f>110789/1000</f>
        <v>110.789</v>
      </c>
    </row>
    <row r="21" spans="1:12" s="99" customFormat="1" x14ac:dyDescent="0.3">
      <c r="A21" s="229" t="s">
        <v>211</v>
      </c>
      <c r="B21" s="271" t="s">
        <v>8</v>
      </c>
      <c r="C21" s="274">
        <v>141.94</v>
      </c>
      <c r="D21" s="235">
        <v>134.32</v>
      </c>
      <c r="E21" s="274">
        <v>136.06</v>
      </c>
      <c r="F21" s="274">
        <v>151.58000000000001</v>
      </c>
      <c r="G21" s="274">
        <v>150.19999999999999</v>
      </c>
      <c r="H21" s="274">
        <v>155.05000000000001</v>
      </c>
      <c r="I21" s="274">
        <v>119.72</v>
      </c>
      <c r="J21" s="274">
        <v>109.07</v>
      </c>
      <c r="K21" s="274">
        <v>104.8</v>
      </c>
      <c r="L21" s="274">
        <f>99363/1000</f>
        <v>99.363</v>
      </c>
    </row>
    <row r="22" spans="1:12" s="99" customFormat="1" x14ac:dyDescent="0.3">
      <c r="A22" s="229" t="s">
        <v>59</v>
      </c>
      <c r="B22" s="271" t="s">
        <v>8</v>
      </c>
      <c r="C22" s="274">
        <v>1.1000000000000001</v>
      </c>
      <c r="D22" s="235">
        <v>1.05</v>
      </c>
      <c r="E22" s="274">
        <v>1.1200000000000001</v>
      </c>
      <c r="F22" s="274">
        <v>1.1499999999999999</v>
      </c>
      <c r="G22" s="274">
        <v>1.1200000000000001</v>
      </c>
      <c r="H22" s="274">
        <v>1.18</v>
      </c>
      <c r="I22" s="274">
        <v>1.1200000000000001</v>
      </c>
      <c r="J22" s="274">
        <v>1.2330000000000001</v>
      </c>
      <c r="K22" s="274">
        <v>1.8</v>
      </c>
      <c r="L22" s="274">
        <f>1750/1000</f>
        <v>1.75</v>
      </c>
    </row>
    <row r="23" spans="1:12" s="99" customFormat="1" x14ac:dyDescent="0.3">
      <c r="A23" s="229" t="s">
        <v>60</v>
      </c>
      <c r="B23" s="271" t="s">
        <v>8</v>
      </c>
      <c r="C23" s="274">
        <v>10.039999999999999</v>
      </c>
      <c r="D23" s="235">
        <v>10.029999999999999</v>
      </c>
      <c r="E23" s="274">
        <v>9.74</v>
      </c>
      <c r="F23" s="274">
        <v>9.98</v>
      </c>
      <c r="G23" s="274">
        <v>11.76</v>
      </c>
      <c r="H23" s="274">
        <v>10.61</v>
      </c>
      <c r="I23" s="274">
        <v>7.38</v>
      </c>
      <c r="J23" s="274">
        <v>6.8730000000000002</v>
      </c>
      <c r="K23" s="274">
        <v>7.6</v>
      </c>
      <c r="L23" s="274">
        <f>6983/1000</f>
        <v>6.9829999999999997</v>
      </c>
    </row>
    <row r="24" spans="1:12" s="99" customFormat="1" x14ac:dyDescent="0.3">
      <c r="A24" s="229" t="s">
        <v>121</v>
      </c>
      <c r="B24" s="271" t="s">
        <v>8</v>
      </c>
      <c r="C24" s="274">
        <v>1.6799999999999944</v>
      </c>
      <c r="D24" s="235">
        <v>1.9700000000000113</v>
      </c>
      <c r="E24" s="274">
        <v>1.660000000000009</v>
      </c>
      <c r="F24" s="274">
        <v>1.9099999999999913</v>
      </c>
      <c r="G24" s="274">
        <v>2.3600000000000083</v>
      </c>
      <c r="H24" s="274">
        <v>2.9499999999999815</v>
      </c>
      <c r="I24" s="274">
        <v>4.6800000000000059</v>
      </c>
      <c r="J24" s="274">
        <f>J20-J21-J22-J23</f>
        <v>4.7040000000000015</v>
      </c>
      <c r="K24" s="274">
        <v>3.3</v>
      </c>
      <c r="L24" s="274">
        <f>2692.98/1000</f>
        <v>2.6929799999999999</v>
      </c>
    </row>
    <row r="25" spans="1:12" x14ac:dyDescent="0.3">
      <c r="A25" s="64" t="s">
        <v>169</v>
      </c>
      <c r="B25" s="275"/>
      <c r="C25" s="404"/>
      <c r="D25" s="405"/>
      <c r="E25" s="405"/>
      <c r="F25" s="405"/>
      <c r="G25" s="405"/>
      <c r="H25" s="405"/>
      <c r="I25" s="405"/>
      <c r="J25" s="405"/>
      <c r="K25" s="405"/>
      <c r="L25" s="406"/>
    </row>
    <row r="26" spans="1:12" x14ac:dyDescent="0.3">
      <c r="A26" s="81" t="s">
        <v>64</v>
      </c>
      <c r="B26" s="276" t="s">
        <v>8</v>
      </c>
      <c r="C26" s="277">
        <v>18.330000000000155</v>
      </c>
      <c r="D26" s="234">
        <v>10.120000000000005</v>
      </c>
      <c r="E26" s="234">
        <v>10.509999999999906</v>
      </c>
      <c r="F26" s="277">
        <v>20.440000000000168</v>
      </c>
      <c r="G26" s="278">
        <f>G27+G28+G29+G30</f>
        <v>14.799999999999876</v>
      </c>
      <c r="H26" s="234">
        <v>10.489999999999981</v>
      </c>
      <c r="I26" s="277">
        <v>15.970000000000113</v>
      </c>
      <c r="J26" s="277">
        <v>19.916</v>
      </c>
      <c r="K26" s="234">
        <v>20.175000000000001</v>
      </c>
      <c r="L26" s="234">
        <f>L27+L28+L29+L30</f>
        <v>22.692431999999997</v>
      </c>
    </row>
    <row r="27" spans="1:12" s="99" customFormat="1" x14ac:dyDescent="0.3">
      <c r="A27" s="229" t="s">
        <v>211</v>
      </c>
      <c r="B27" s="271" t="s">
        <v>8</v>
      </c>
      <c r="C27" s="274">
        <v>9.9999999999965894E-2</v>
      </c>
      <c r="D27" s="235">
        <v>0.12000000000006139</v>
      </c>
      <c r="E27" s="235">
        <v>0.1400000000000432</v>
      </c>
      <c r="F27" s="274">
        <v>0.20999999999995111</v>
      </c>
      <c r="G27" s="232">
        <v>0.19999999999987494</v>
      </c>
      <c r="H27" s="235">
        <v>0.13999999999981583</v>
      </c>
      <c r="I27" s="274">
        <v>6.9999999999964757E-2</v>
      </c>
      <c r="J27" s="274">
        <v>8.6915999999999993E-2</v>
      </c>
      <c r="K27" s="235">
        <v>0.154</v>
      </c>
      <c r="L27" s="235">
        <f>135.432/1000</f>
        <v>0.135432</v>
      </c>
    </row>
    <row r="28" spans="1:12" s="99" customFormat="1" x14ac:dyDescent="0.3">
      <c r="A28" s="229" t="s">
        <v>59</v>
      </c>
      <c r="B28" s="271" t="s">
        <v>8</v>
      </c>
      <c r="C28" s="274">
        <v>8.42</v>
      </c>
      <c r="D28" s="235">
        <v>7.13</v>
      </c>
      <c r="E28" s="235">
        <v>6.97</v>
      </c>
      <c r="F28" s="274">
        <v>9.41</v>
      </c>
      <c r="G28" s="232">
        <v>8.8000000000000007</v>
      </c>
      <c r="H28" s="235">
        <v>7.02</v>
      </c>
      <c r="I28" s="274">
        <v>7.4799999999999995</v>
      </c>
      <c r="J28" s="274">
        <v>8.7029999999999994</v>
      </c>
      <c r="K28" s="235">
        <v>8.8460000000000001</v>
      </c>
      <c r="L28" s="235">
        <f>8014.204/1000</f>
        <v>8.0142039999999994</v>
      </c>
    </row>
    <row r="29" spans="1:12" s="99" customFormat="1" x14ac:dyDescent="0.3">
      <c r="A29" s="229" t="s">
        <v>60</v>
      </c>
      <c r="B29" s="271" t="s">
        <v>8</v>
      </c>
      <c r="C29" s="274">
        <v>0.61000000000000121</v>
      </c>
      <c r="D29" s="235">
        <v>0.54000000000000092</v>
      </c>
      <c r="E29" s="235">
        <v>0.56999999999999851</v>
      </c>
      <c r="F29" s="274">
        <v>0.66999999999999815</v>
      </c>
      <c r="G29" s="232">
        <v>1.6</v>
      </c>
      <c r="H29" s="235">
        <v>1.110000000000003</v>
      </c>
      <c r="I29" s="274">
        <v>0.7400000000000011</v>
      </c>
      <c r="J29" s="274">
        <v>1.08</v>
      </c>
      <c r="K29" s="235">
        <v>1.39</v>
      </c>
      <c r="L29" s="235">
        <f>2113.148/1000</f>
        <v>2.1131480000000002</v>
      </c>
    </row>
    <row r="30" spans="1:12" s="99" customFormat="1" x14ac:dyDescent="0.3">
      <c r="A30" s="229" t="s">
        <v>121</v>
      </c>
      <c r="B30" s="271" t="s">
        <v>8</v>
      </c>
      <c r="C30" s="274">
        <v>9.2000000000001929</v>
      </c>
      <c r="D30" s="235">
        <v>2.3299999999999432</v>
      </c>
      <c r="E30" s="235">
        <v>2.8299999999998686</v>
      </c>
      <c r="F30" s="274">
        <v>10.150000000000217</v>
      </c>
      <c r="G30" s="232">
        <v>4.2</v>
      </c>
      <c r="H30" s="235">
        <v>2.2200000000001587</v>
      </c>
      <c r="I30" s="274">
        <v>7.6800000000001463</v>
      </c>
      <c r="J30" s="274">
        <f>J26-J27-J28-J29</f>
        <v>10.046084000000002</v>
      </c>
      <c r="K30" s="235">
        <v>9.7850000000000001</v>
      </c>
      <c r="L30" s="235">
        <f>12429.648/1000</f>
        <v>12.429647999999998</v>
      </c>
    </row>
    <row r="31" spans="1:12" ht="15" x14ac:dyDescent="0.3">
      <c r="A31" s="64" t="s">
        <v>237</v>
      </c>
      <c r="B31" s="279"/>
      <c r="C31" s="393"/>
      <c r="D31" s="394"/>
      <c r="E31" s="394"/>
      <c r="F31" s="394"/>
      <c r="G31" s="394"/>
      <c r="H31" s="394"/>
      <c r="I31" s="394"/>
      <c r="J31" s="394"/>
      <c r="K31" s="394"/>
      <c r="L31" s="395"/>
    </row>
    <row r="32" spans="1:12" x14ac:dyDescent="0.3">
      <c r="A32" s="67" t="s">
        <v>214</v>
      </c>
      <c r="B32" s="280" t="s">
        <v>10</v>
      </c>
      <c r="C32" s="281" t="s">
        <v>118</v>
      </c>
      <c r="D32" s="281" t="s">
        <v>118</v>
      </c>
      <c r="E32" s="281" t="s">
        <v>118</v>
      </c>
      <c r="F32" s="281" t="s">
        <v>118</v>
      </c>
      <c r="G32" s="281" t="s">
        <v>118</v>
      </c>
      <c r="H32" s="281" t="s">
        <v>118</v>
      </c>
      <c r="I32" s="281" t="s">
        <v>118</v>
      </c>
      <c r="J32" s="282">
        <f>J33+J34</f>
        <v>10.312000000000001</v>
      </c>
      <c r="K32" s="282">
        <f>K33+K34</f>
        <v>10.042999999999999</v>
      </c>
      <c r="L32" s="283">
        <f>L33+L34</f>
        <v>9.863999999999999</v>
      </c>
    </row>
    <row r="33" spans="1:13" s="99" customFormat="1" x14ac:dyDescent="0.3">
      <c r="A33" s="230" t="s">
        <v>212</v>
      </c>
      <c r="B33" s="284" t="s">
        <v>10</v>
      </c>
      <c r="C33" s="285" t="s">
        <v>118</v>
      </c>
      <c r="D33" s="285" t="s">
        <v>118</v>
      </c>
      <c r="E33" s="285" t="s">
        <v>118</v>
      </c>
      <c r="F33" s="285" t="s">
        <v>118</v>
      </c>
      <c r="G33" s="285" t="s">
        <v>118</v>
      </c>
      <c r="H33" s="285" t="s">
        <v>118</v>
      </c>
      <c r="I33" s="285" t="s">
        <v>118</v>
      </c>
      <c r="J33" s="286">
        <v>10.185</v>
      </c>
      <c r="K33" s="286">
        <v>9.92</v>
      </c>
      <c r="L33" s="287">
        <v>9.7759999999999998</v>
      </c>
    </row>
    <row r="34" spans="1:13" s="99" customFormat="1" x14ac:dyDescent="0.3">
      <c r="A34" s="230" t="s">
        <v>213</v>
      </c>
      <c r="B34" s="284" t="s">
        <v>10</v>
      </c>
      <c r="C34" s="285" t="s">
        <v>118</v>
      </c>
      <c r="D34" s="285" t="s">
        <v>118</v>
      </c>
      <c r="E34" s="285" t="s">
        <v>118</v>
      </c>
      <c r="F34" s="285" t="s">
        <v>118</v>
      </c>
      <c r="G34" s="285" t="s">
        <v>118</v>
      </c>
      <c r="H34" s="288" t="s">
        <v>118</v>
      </c>
      <c r="I34" s="285" t="s">
        <v>118</v>
      </c>
      <c r="J34" s="287">
        <v>0.127</v>
      </c>
      <c r="K34" s="287">
        <v>0.123</v>
      </c>
      <c r="L34" s="286">
        <v>8.7999999999999995E-2</v>
      </c>
    </row>
    <row r="35" spans="1:13" s="99" customFormat="1" ht="15" x14ac:dyDescent="0.3">
      <c r="A35" s="67" t="s">
        <v>236</v>
      </c>
      <c r="B35" s="284" t="s">
        <v>0</v>
      </c>
      <c r="C35" s="285" t="s">
        <v>118</v>
      </c>
      <c r="D35" s="285" t="s">
        <v>118</v>
      </c>
      <c r="E35" s="285" t="s">
        <v>118</v>
      </c>
      <c r="F35" s="289">
        <v>1</v>
      </c>
      <c r="G35" s="290">
        <v>1</v>
      </c>
      <c r="H35" s="289">
        <v>0.96</v>
      </c>
      <c r="I35" s="289">
        <v>0.87</v>
      </c>
      <c r="J35" s="291">
        <v>0.9</v>
      </c>
      <c r="K35" s="291">
        <v>0.78</v>
      </c>
      <c r="L35" s="292">
        <v>0.73</v>
      </c>
    </row>
    <row r="36" spans="1:13" x14ac:dyDescent="0.3">
      <c r="A36" s="180" t="s">
        <v>6</v>
      </c>
      <c r="B36" s="293"/>
      <c r="C36" s="294"/>
      <c r="D36" s="295"/>
      <c r="E36" s="295"/>
      <c r="F36" s="295"/>
      <c r="G36" s="295"/>
      <c r="H36" s="295"/>
      <c r="I36" s="294"/>
      <c r="J36" s="294"/>
      <c r="K36" s="401"/>
      <c r="L36" s="402"/>
    </row>
    <row r="37" spans="1:13" ht="6.75" customHeight="1" x14ac:dyDescent="0.3">
      <c r="A37" s="181"/>
      <c r="B37" s="296"/>
      <c r="C37" s="297"/>
      <c r="D37" s="297"/>
      <c r="E37" s="297"/>
      <c r="F37" s="297"/>
      <c r="G37" s="297"/>
      <c r="H37" s="297"/>
      <c r="I37" s="298"/>
      <c r="J37" s="298"/>
      <c r="K37" s="298"/>
      <c r="L37" s="299"/>
    </row>
    <row r="38" spans="1:13" x14ac:dyDescent="0.3">
      <c r="A38" s="64" t="s">
        <v>122</v>
      </c>
      <c r="B38" s="279"/>
      <c r="C38" s="393"/>
      <c r="D38" s="394"/>
      <c r="E38" s="394"/>
      <c r="F38" s="394"/>
      <c r="G38" s="394"/>
      <c r="H38" s="394"/>
      <c r="I38" s="394"/>
      <c r="J38" s="394"/>
      <c r="K38" s="394"/>
      <c r="L38" s="395"/>
    </row>
    <row r="39" spans="1:13" s="6" customFormat="1" ht="15" x14ac:dyDescent="0.3">
      <c r="A39" s="67" t="s">
        <v>255</v>
      </c>
      <c r="B39" s="300" t="s">
        <v>238</v>
      </c>
      <c r="C39" s="268">
        <f t="shared" ref="C39:J39" si="4">C40+C41+C42</f>
        <v>1422.3</v>
      </c>
      <c r="D39" s="269">
        <f t="shared" si="4"/>
        <v>1341.49</v>
      </c>
      <c r="E39" s="269">
        <f t="shared" si="4"/>
        <v>1319.5</v>
      </c>
      <c r="F39" s="269">
        <f t="shared" si="4"/>
        <v>1347.96</v>
      </c>
      <c r="G39" s="269">
        <f t="shared" si="4"/>
        <v>1417.8</v>
      </c>
      <c r="H39" s="269">
        <f t="shared" si="4"/>
        <v>1421.41</v>
      </c>
      <c r="I39" s="269">
        <f t="shared" si="4"/>
        <v>1463.81</v>
      </c>
      <c r="J39" s="269">
        <f t="shared" si="4"/>
        <v>1342.1</v>
      </c>
      <c r="K39" s="269">
        <v>1412.1</v>
      </c>
      <c r="L39" s="301">
        <f t="shared" ref="L39" si="5">L40+L41+L42</f>
        <v>1343.5</v>
      </c>
    </row>
    <row r="40" spans="1:13" s="6" customFormat="1" ht="15" x14ac:dyDescent="0.3">
      <c r="A40" s="67" t="s">
        <v>16</v>
      </c>
      <c r="B40" s="300" t="s">
        <v>238</v>
      </c>
      <c r="C40" s="268">
        <v>566.9</v>
      </c>
      <c r="D40" s="268">
        <v>564.04999999999995</v>
      </c>
      <c r="E40" s="269">
        <v>563.94000000000005</v>
      </c>
      <c r="F40" s="269">
        <v>564.32000000000005</v>
      </c>
      <c r="G40" s="268">
        <v>567.04</v>
      </c>
      <c r="H40" s="268">
        <v>574.16999999999996</v>
      </c>
      <c r="I40" s="269">
        <v>533.66999999999996</v>
      </c>
      <c r="J40" s="269">
        <v>512.29999999999995</v>
      </c>
      <c r="K40" s="268">
        <v>463.5</v>
      </c>
      <c r="L40" s="302">
        <v>461.2</v>
      </c>
    </row>
    <row r="41" spans="1:13" s="6" customFormat="1" ht="15" x14ac:dyDescent="0.3">
      <c r="A41" s="67" t="s">
        <v>7</v>
      </c>
      <c r="B41" s="300" t="s">
        <v>238</v>
      </c>
      <c r="C41" s="268">
        <v>178.03</v>
      </c>
      <c r="D41" s="268">
        <v>178.11</v>
      </c>
      <c r="E41" s="269">
        <v>178.77</v>
      </c>
      <c r="F41" s="269">
        <v>172.18</v>
      </c>
      <c r="G41" s="268">
        <v>175.38</v>
      </c>
      <c r="H41" s="268">
        <v>171.32</v>
      </c>
      <c r="I41" s="269">
        <v>170.52</v>
      </c>
      <c r="J41" s="269">
        <v>169.6</v>
      </c>
      <c r="K41" s="268">
        <v>171.6</v>
      </c>
      <c r="L41" s="302">
        <v>156.5</v>
      </c>
    </row>
    <row r="42" spans="1:13" s="6" customFormat="1" ht="15" x14ac:dyDescent="0.3">
      <c r="A42" s="67" t="s">
        <v>15</v>
      </c>
      <c r="B42" s="300" t="s">
        <v>238</v>
      </c>
      <c r="C42" s="268">
        <v>677.37</v>
      </c>
      <c r="D42" s="268">
        <v>599.33000000000004</v>
      </c>
      <c r="E42" s="269">
        <v>576.79</v>
      </c>
      <c r="F42" s="269">
        <v>611.46</v>
      </c>
      <c r="G42" s="268">
        <v>675.38</v>
      </c>
      <c r="H42" s="268">
        <v>675.92000000000007</v>
      </c>
      <c r="I42" s="269">
        <v>759.62</v>
      </c>
      <c r="J42" s="269">
        <v>660.19999999999993</v>
      </c>
      <c r="K42" s="268">
        <v>777</v>
      </c>
      <c r="L42" s="302">
        <v>725.8</v>
      </c>
    </row>
    <row r="43" spans="1:13" s="6" customFormat="1" x14ac:dyDescent="0.3">
      <c r="A43" s="64" t="s">
        <v>54</v>
      </c>
      <c r="B43" s="303"/>
      <c r="C43" s="393"/>
      <c r="D43" s="394"/>
      <c r="E43" s="394"/>
      <c r="F43" s="394"/>
      <c r="G43" s="394"/>
      <c r="H43" s="394"/>
      <c r="I43" s="394"/>
      <c r="J43" s="394"/>
      <c r="K43" s="394"/>
      <c r="L43" s="394"/>
    </row>
    <row r="44" spans="1:13" s="6" customFormat="1" ht="15" x14ac:dyDescent="0.3">
      <c r="A44" s="67" t="s">
        <v>255</v>
      </c>
      <c r="B44" s="300" t="s">
        <v>0</v>
      </c>
      <c r="C44" s="304">
        <v>0.86057090627856292</v>
      </c>
      <c r="D44" s="304">
        <v>0.865925202573258</v>
      </c>
      <c r="E44" s="304">
        <v>0.85733232284956418</v>
      </c>
      <c r="F44" s="304">
        <v>0.92132555862191745</v>
      </c>
      <c r="G44" s="304">
        <v>0.92323317816335171</v>
      </c>
      <c r="H44" s="304">
        <v>0.92566536045194558</v>
      </c>
      <c r="I44" s="305">
        <v>0.85832860822101231</v>
      </c>
      <c r="J44" s="305">
        <v>0.84799999999999998</v>
      </c>
      <c r="K44" s="305">
        <v>0.85699999999999998</v>
      </c>
      <c r="L44" s="306">
        <v>0.87234834387793081</v>
      </c>
    </row>
    <row r="45" spans="1:13" s="6" customFormat="1" x14ac:dyDescent="0.3">
      <c r="A45" s="67" t="s">
        <v>16</v>
      </c>
      <c r="B45" s="300" t="s">
        <v>0</v>
      </c>
      <c r="C45" s="304">
        <v>0.90721467630975494</v>
      </c>
      <c r="D45" s="304">
        <v>0.90374966758266118</v>
      </c>
      <c r="E45" s="304">
        <v>0.90483030109586116</v>
      </c>
      <c r="F45" s="304">
        <v>0.90142117947263956</v>
      </c>
      <c r="G45" s="304">
        <v>0.90111808690744921</v>
      </c>
      <c r="H45" s="304">
        <v>0.89828796349513218</v>
      </c>
      <c r="I45" s="305">
        <v>0.89427923623212857</v>
      </c>
      <c r="J45" s="305">
        <v>0.89100000000000001</v>
      </c>
      <c r="K45" s="305">
        <v>0.9</v>
      </c>
      <c r="L45" s="307">
        <v>0.90700000000000003</v>
      </c>
    </row>
    <row r="46" spans="1:13" s="6" customFormat="1" x14ac:dyDescent="0.3">
      <c r="A46" s="67" t="s">
        <v>7</v>
      </c>
      <c r="B46" s="300" t="s">
        <v>0</v>
      </c>
      <c r="C46" s="304">
        <v>0.88406448351401445</v>
      </c>
      <c r="D46" s="304">
        <v>0.85941272247487499</v>
      </c>
      <c r="E46" s="304">
        <v>0.86228114336857409</v>
      </c>
      <c r="F46" s="304">
        <v>0.87373678708328484</v>
      </c>
      <c r="G46" s="304">
        <v>0.8580225795415668</v>
      </c>
      <c r="H46" s="304">
        <v>0.85611720756479104</v>
      </c>
      <c r="I46" s="305">
        <v>0.88488153882242537</v>
      </c>
      <c r="J46" s="305">
        <v>0.92800000000000005</v>
      </c>
      <c r="K46" s="305">
        <v>0.92</v>
      </c>
      <c r="L46" s="307">
        <v>0.95899999999999996</v>
      </c>
    </row>
    <row r="47" spans="1:13" s="151" customFormat="1" x14ac:dyDescent="0.3">
      <c r="A47" s="67" t="s">
        <v>15</v>
      </c>
      <c r="B47" s="300" t="s">
        <v>0</v>
      </c>
      <c r="C47" s="304">
        <v>0.81535940475663216</v>
      </c>
      <c r="D47" s="304">
        <v>0.83226269334089698</v>
      </c>
      <c r="E47" s="304">
        <v>0.8093586920716378</v>
      </c>
      <c r="F47" s="304">
        <v>0.95309586890393472</v>
      </c>
      <c r="G47" s="304">
        <v>0.95873434214812403</v>
      </c>
      <c r="H47" s="304">
        <v>0.96654929577464754</v>
      </c>
      <c r="I47" s="304">
        <v>0.82711092388299423</v>
      </c>
      <c r="J47" s="308">
        <v>0.79</v>
      </c>
      <c r="K47" s="308">
        <v>0.81</v>
      </c>
      <c r="L47" s="306">
        <v>0.83</v>
      </c>
    </row>
    <row r="48" spans="1:13" x14ac:dyDescent="0.3">
      <c r="A48" s="64" t="s">
        <v>53</v>
      </c>
      <c r="B48" s="279"/>
      <c r="C48" s="393"/>
      <c r="D48" s="394"/>
      <c r="E48" s="394"/>
      <c r="F48" s="394"/>
      <c r="G48" s="394"/>
      <c r="H48" s="394"/>
      <c r="I48" s="394"/>
      <c r="J48" s="394"/>
      <c r="K48" s="394"/>
      <c r="L48" s="395"/>
      <c r="M48" s="261"/>
    </row>
    <row r="49" spans="1:13" s="151" customFormat="1" ht="15" x14ac:dyDescent="0.3">
      <c r="A49" s="67" t="s">
        <v>255</v>
      </c>
      <c r="B49" s="300" t="s">
        <v>238</v>
      </c>
      <c r="C49" s="310">
        <f>C50+C51+C52-92.3</f>
        <v>338.02</v>
      </c>
      <c r="D49" s="310">
        <f>D50+D51+D52-92</f>
        <v>317.20000000000005</v>
      </c>
      <c r="E49" s="310">
        <f>E50+E51+E52-92.1</f>
        <v>332.38</v>
      </c>
      <c r="F49" s="310">
        <f>F50+F51+F52-94</f>
        <v>352.80999999999995</v>
      </c>
      <c r="G49" s="310">
        <f>G50+G51+G52-94.1</f>
        <v>351.94000000000005</v>
      </c>
      <c r="H49" s="310">
        <f>H50+H51+H52-96.4</f>
        <v>348.52</v>
      </c>
      <c r="I49" s="310">
        <f>I50+I51+I52-99</f>
        <v>328.43</v>
      </c>
      <c r="J49" s="310">
        <f>J50+J51+J52-93.6</f>
        <v>335.69999999999993</v>
      </c>
      <c r="K49" s="310">
        <f>K50+K51+K52-96.7</f>
        <v>356.81</v>
      </c>
      <c r="L49" s="310">
        <f>L50+L51+L52-95.2</f>
        <v>319.2000000000001</v>
      </c>
      <c r="M49" s="237"/>
    </row>
    <row r="50" spans="1:13" ht="15" x14ac:dyDescent="0.3">
      <c r="A50" s="67" t="s">
        <v>215</v>
      </c>
      <c r="B50" s="300" t="s">
        <v>238</v>
      </c>
      <c r="C50" s="376">
        <v>79.7</v>
      </c>
      <c r="D50" s="377">
        <v>88.28</v>
      </c>
      <c r="E50" s="377">
        <v>88.77</v>
      </c>
      <c r="F50" s="377">
        <v>86.48</v>
      </c>
      <c r="G50" s="377">
        <v>95.02</v>
      </c>
      <c r="H50" s="378">
        <v>102.49</v>
      </c>
      <c r="I50" s="378">
        <v>96.4</v>
      </c>
      <c r="J50" s="378">
        <v>100.1</v>
      </c>
      <c r="K50" s="377">
        <v>82.8</v>
      </c>
      <c r="L50" s="377">
        <v>69.599999999999994</v>
      </c>
    </row>
    <row r="51" spans="1:13" ht="15" x14ac:dyDescent="0.3">
      <c r="A51" s="67" t="s">
        <v>216</v>
      </c>
      <c r="B51" s="300" t="s">
        <v>238</v>
      </c>
      <c r="C51" s="376">
        <v>37.92</v>
      </c>
      <c r="D51" s="377">
        <v>36.49</v>
      </c>
      <c r="E51" s="377">
        <v>35.479999999999997</v>
      </c>
      <c r="F51" s="377">
        <v>35.92</v>
      </c>
      <c r="G51" s="376">
        <v>30.16</v>
      </c>
      <c r="H51" s="378">
        <v>27.93</v>
      </c>
      <c r="I51" s="378">
        <v>35.53</v>
      </c>
      <c r="J51" s="378">
        <v>31.7</v>
      </c>
      <c r="K51" s="377">
        <v>32.799999999999997</v>
      </c>
      <c r="L51" s="377">
        <v>28</v>
      </c>
    </row>
    <row r="52" spans="1:13" ht="15" x14ac:dyDescent="0.3">
      <c r="A52" s="67" t="s">
        <v>217</v>
      </c>
      <c r="B52" s="300" t="s">
        <v>238</v>
      </c>
      <c r="C52" s="376">
        <v>312.7</v>
      </c>
      <c r="D52" s="377">
        <v>284.43</v>
      </c>
      <c r="E52" s="377">
        <v>300.22999999999996</v>
      </c>
      <c r="F52" s="377">
        <v>324.40999999999997</v>
      </c>
      <c r="G52" s="376">
        <v>320.86000000000007</v>
      </c>
      <c r="H52" s="379">
        <v>314.5</v>
      </c>
      <c r="I52" s="379">
        <v>295.5</v>
      </c>
      <c r="J52" s="379">
        <v>297.5</v>
      </c>
      <c r="K52" s="379">
        <v>337.91</v>
      </c>
      <c r="L52" s="377">
        <v>316.80000000000007</v>
      </c>
    </row>
    <row r="53" spans="1:13" ht="15" x14ac:dyDescent="0.3">
      <c r="A53" s="64" t="s">
        <v>256</v>
      </c>
      <c r="B53" s="279"/>
      <c r="C53" s="393"/>
      <c r="D53" s="394"/>
      <c r="E53" s="394"/>
      <c r="F53" s="394"/>
      <c r="G53" s="394"/>
      <c r="H53" s="394"/>
      <c r="I53" s="394"/>
      <c r="J53" s="394"/>
      <c r="K53" s="394"/>
      <c r="L53" s="395"/>
    </row>
    <row r="54" spans="1:13" s="151" customFormat="1" ht="15" x14ac:dyDescent="0.3">
      <c r="A54" s="30" t="s">
        <v>55</v>
      </c>
      <c r="B54" s="300" t="s">
        <v>238</v>
      </c>
      <c r="C54" s="311">
        <v>157.43</v>
      </c>
      <c r="D54" s="236">
        <v>139</v>
      </c>
      <c r="E54" s="236">
        <v>146.53</v>
      </c>
      <c r="F54" s="236">
        <v>146.16999999999999</v>
      </c>
      <c r="G54" s="236">
        <v>145.62</v>
      </c>
      <c r="H54" s="236">
        <v>140.4</v>
      </c>
      <c r="I54" s="236">
        <v>143.55000000000001</v>
      </c>
      <c r="J54" s="236">
        <f>J58+J62+J66</f>
        <v>147.6</v>
      </c>
      <c r="K54" s="309">
        <v>164.5</v>
      </c>
      <c r="L54" s="310">
        <f>L58+L62+L66</f>
        <v>142.30000000000001</v>
      </c>
    </row>
    <row r="55" spans="1:13" s="99" customFormat="1" ht="15" x14ac:dyDescent="0.3">
      <c r="A55" s="229" t="s">
        <v>123</v>
      </c>
      <c r="B55" s="312" t="s">
        <v>239</v>
      </c>
      <c r="C55" s="313">
        <v>93.2</v>
      </c>
      <c r="D55" s="314">
        <v>71.899999999999991</v>
      </c>
      <c r="E55" s="314">
        <v>82.27</v>
      </c>
      <c r="F55" s="314">
        <v>89.990000000000009</v>
      </c>
      <c r="G55" s="238">
        <v>88.4</v>
      </c>
      <c r="H55" s="314">
        <v>83.02</v>
      </c>
      <c r="I55" s="314">
        <v>86.800000000000011</v>
      </c>
      <c r="J55" s="314">
        <f>J59+J63+J67</f>
        <v>85</v>
      </c>
      <c r="K55" s="315">
        <f>92.6+6.6</f>
        <v>99.199999999999989</v>
      </c>
      <c r="L55" s="316">
        <f>L59+L67</f>
        <v>80.2</v>
      </c>
    </row>
    <row r="56" spans="1:13" s="151" customFormat="1" x14ac:dyDescent="0.3">
      <c r="A56" s="29" t="s">
        <v>158</v>
      </c>
      <c r="B56" s="317" t="s">
        <v>8</v>
      </c>
      <c r="C56" s="311">
        <v>141.9</v>
      </c>
      <c r="D56" s="236">
        <v>132.4</v>
      </c>
      <c r="E56" s="236">
        <v>151.1</v>
      </c>
      <c r="F56" s="236">
        <v>139.4</v>
      </c>
      <c r="G56" s="236">
        <v>140.5</v>
      </c>
      <c r="H56" s="236">
        <v>153.1</v>
      </c>
      <c r="I56" s="236">
        <v>193</v>
      </c>
      <c r="J56" s="236">
        <f>J60+J64+J68</f>
        <v>216.6</v>
      </c>
      <c r="K56" s="309">
        <v>232.4</v>
      </c>
      <c r="L56" s="310">
        <f t="shared" ref="L56" si="6">L60+L64+L68</f>
        <v>210.6</v>
      </c>
    </row>
    <row r="57" spans="1:13" x14ac:dyDescent="0.3">
      <c r="A57" s="64" t="s">
        <v>170</v>
      </c>
      <c r="B57" s="279"/>
      <c r="C57" s="393"/>
      <c r="D57" s="394"/>
      <c r="E57" s="394"/>
      <c r="F57" s="394"/>
      <c r="G57" s="394"/>
      <c r="H57" s="394"/>
      <c r="I57" s="394"/>
      <c r="J57" s="394"/>
      <c r="K57" s="394"/>
      <c r="L57" s="395"/>
    </row>
    <row r="58" spans="1:13" ht="15" x14ac:dyDescent="0.3">
      <c r="A58" s="30" t="s">
        <v>55</v>
      </c>
      <c r="B58" s="300" t="s">
        <v>238</v>
      </c>
      <c r="C58" s="311">
        <v>35.43</v>
      </c>
      <c r="D58" s="318">
        <v>38.93</v>
      </c>
      <c r="E58" s="236">
        <v>39.200000000000003</v>
      </c>
      <c r="F58" s="236">
        <v>33.090000000000003</v>
      </c>
      <c r="G58" s="236">
        <v>36.200000000000003</v>
      </c>
      <c r="H58" s="236">
        <v>39.520000000000003</v>
      </c>
      <c r="I58" s="236">
        <v>38.67</v>
      </c>
      <c r="J58" s="236">
        <v>45.3</v>
      </c>
      <c r="K58" s="236">
        <v>35</v>
      </c>
      <c r="L58" s="239">
        <v>23.7</v>
      </c>
    </row>
    <row r="59" spans="1:13" s="99" customFormat="1" ht="15" x14ac:dyDescent="0.3">
      <c r="A59" s="229" t="s">
        <v>123</v>
      </c>
      <c r="B59" s="312" t="s">
        <v>239</v>
      </c>
      <c r="C59" s="313">
        <v>0.23</v>
      </c>
      <c r="D59" s="319">
        <v>0.23</v>
      </c>
      <c r="E59" s="314">
        <v>2.21</v>
      </c>
      <c r="F59" s="314">
        <v>2.0599999999999996</v>
      </c>
      <c r="G59" s="314">
        <v>4.83</v>
      </c>
      <c r="H59" s="314">
        <v>5.258</v>
      </c>
      <c r="I59" s="314">
        <v>5.4399999999999995</v>
      </c>
      <c r="J59" s="314">
        <f>0.7+5</f>
        <v>5.7</v>
      </c>
      <c r="K59" s="315">
        <v>2.6</v>
      </c>
      <c r="L59" s="316">
        <v>1.3</v>
      </c>
    </row>
    <row r="60" spans="1:13" x14ac:dyDescent="0.3">
      <c r="A60" s="29" t="s">
        <v>158</v>
      </c>
      <c r="B60" s="317" t="s">
        <v>8</v>
      </c>
      <c r="C60" s="309">
        <v>57</v>
      </c>
      <c r="D60" s="309">
        <v>47.93</v>
      </c>
      <c r="E60" s="309">
        <v>72.39</v>
      </c>
      <c r="F60" s="309">
        <v>76.930000000000007</v>
      </c>
      <c r="G60" s="309">
        <v>67.47</v>
      </c>
      <c r="H60" s="309">
        <v>76.92</v>
      </c>
      <c r="I60" s="309">
        <v>71.83</v>
      </c>
      <c r="J60" s="236">
        <v>73</v>
      </c>
      <c r="K60" s="309">
        <v>72.7</v>
      </c>
      <c r="L60" s="310">
        <v>58.3</v>
      </c>
    </row>
    <row r="61" spans="1:13" x14ac:dyDescent="0.3">
      <c r="A61" s="64" t="s">
        <v>171</v>
      </c>
      <c r="B61" s="279"/>
      <c r="C61" s="396"/>
      <c r="D61" s="397"/>
      <c r="E61" s="397"/>
      <c r="F61" s="397"/>
      <c r="G61" s="397"/>
      <c r="H61" s="397"/>
      <c r="I61" s="397"/>
      <c r="J61" s="397"/>
      <c r="K61" s="397"/>
      <c r="L61" s="398"/>
    </row>
    <row r="62" spans="1:13" ht="15" x14ac:dyDescent="0.3">
      <c r="A62" s="30" t="s">
        <v>55</v>
      </c>
      <c r="B62" s="300" t="s">
        <v>238</v>
      </c>
      <c r="C62" s="311">
        <v>27.31</v>
      </c>
      <c r="D62" s="236">
        <v>27.41</v>
      </c>
      <c r="E62" s="236">
        <v>26.28</v>
      </c>
      <c r="F62" s="236">
        <v>24.47</v>
      </c>
      <c r="G62" s="236">
        <v>25.44</v>
      </c>
      <c r="H62" s="236">
        <v>23.48</v>
      </c>
      <c r="I62" s="236">
        <v>22.59</v>
      </c>
      <c r="J62" s="236">
        <v>22.3</v>
      </c>
      <c r="K62" s="236">
        <v>25.6</v>
      </c>
      <c r="L62" s="239">
        <v>22.1</v>
      </c>
    </row>
    <row r="63" spans="1:13" s="99" customFormat="1" ht="15" x14ac:dyDescent="0.3">
      <c r="A63" s="229" t="s">
        <v>123</v>
      </c>
      <c r="B63" s="312" t="s">
        <v>239</v>
      </c>
      <c r="C63" s="313">
        <v>0</v>
      </c>
      <c r="D63" s="314">
        <v>0</v>
      </c>
      <c r="E63" s="314">
        <v>0</v>
      </c>
      <c r="F63" s="314">
        <v>0</v>
      </c>
      <c r="G63" s="314">
        <v>0</v>
      </c>
      <c r="H63" s="314">
        <v>0</v>
      </c>
      <c r="I63" s="314">
        <v>0</v>
      </c>
      <c r="J63" s="314">
        <v>0</v>
      </c>
      <c r="K63" s="315">
        <v>0</v>
      </c>
      <c r="L63" s="316">
        <v>0</v>
      </c>
    </row>
    <row r="64" spans="1:13" x14ac:dyDescent="0.3">
      <c r="A64" s="29" t="s">
        <v>158</v>
      </c>
      <c r="B64" s="317" t="s">
        <v>8</v>
      </c>
      <c r="C64" s="309">
        <v>64.709999999999994</v>
      </c>
      <c r="D64" s="309">
        <v>70.52</v>
      </c>
      <c r="E64" s="309">
        <v>77.47</v>
      </c>
      <c r="F64" s="309">
        <v>61.8</v>
      </c>
      <c r="G64" s="309">
        <v>72.680000000000007</v>
      </c>
      <c r="H64" s="309">
        <v>75.62</v>
      </c>
      <c r="I64" s="309">
        <v>119.32</v>
      </c>
      <c r="J64" s="236">
        <v>142.9</v>
      </c>
      <c r="K64" s="309">
        <v>148</v>
      </c>
      <c r="L64" s="310">
        <v>124.4</v>
      </c>
    </row>
    <row r="65" spans="1:12" x14ac:dyDescent="0.3">
      <c r="A65" s="64" t="s">
        <v>172</v>
      </c>
      <c r="B65" s="279"/>
      <c r="C65" s="396"/>
      <c r="D65" s="397"/>
      <c r="E65" s="397"/>
      <c r="F65" s="397"/>
      <c r="G65" s="397"/>
      <c r="H65" s="397"/>
      <c r="I65" s="397"/>
      <c r="J65" s="397"/>
      <c r="K65" s="397"/>
      <c r="L65" s="398"/>
    </row>
    <row r="66" spans="1:12" ht="15" x14ac:dyDescent="0.3">
      <c r="A66" s="30" t="s">
        <v>55</v>
      </c>
      <c r="B66" s="317" t="s">
        <v>238</v>
      </c>
      <c r="C66" s="311">
        <v>94.69</v>
      </c>
      <c r="D66" s="236">
        <v>72.66</v>
      </c>
      <c r="E66" s="236">
        <v>81.05</v>
      </c>
      <c r="F66" s="236">
        <v>88.609999999999985</v>
      </c>
      <c r="G66" s="236">
        <v>83.98</v>
      </c>
      <c r="H66" s="236">
        <v>77.449999999999974</v>
      </c>
      <c r="I66" s="236">
        <v>82.29</v>
      </c>
      <c r="J66" s="236">
        <v>80</v>
      </c>
      <c r="K66" s="236">
        <v>103.9</v>
      </c>
      <c r="L66" s="239">
        <v>96.5</v>
      </c>
    </row>
    <row r="67" spans="1:12" s="99" customFormat="1" ht="15" x14ac:dyDescent="0.3">
      <c r="A67" s="88" t="s">
        <v>123</v>
      </c>
      <c r="B67" s="320" t="s">
        <v>239</v>
      </c>
      <c r="C67" s="313">
        <v>92.97</v>
      </c>
      <c r="D67" s="314">
        <v>71.669999999999987</v>
      </c>
      <c r="E67" s="314">
        <v>80.06</v>
      </c>
      <c r="F67" s="314">
        <v>87.93</v>
      </c>
      <c r="G67" s="314">
        <v>83.55</v>
      </c>
      <c r="H67" s="314">
        <v>77.761999999999986</v>
      </c>
      <c r="I67" s="314">
        <v>81.36</v>
      </c>
      <c r="J67" s="314">
        <v>79.3</v>
      </c>
      <c r="K67" s="315">
        <f>91.9+4.7</f>
        <v>96.600000000000009</v>
      </c>
      <c r="L67" s="316">
        <v>78.900000000000006</v>
      </c>
    </row>
    <row r="68" spans="1:12" x14ac:dyDescent="0.3">
      <c r="A68" s="29" t="s">
        <v>158</v>
      </c>
      <c r="B68" s="317" t="s">
        <v>8</v>
      </c>
      <c r="C68" s="309">
        <v>20.200000000000003</v>
      </c>
      <c r="D68" s="309">
        <v>13.989999999999995</v>
      </c>
      <c r="E68" s="309">
        <v>1.2500000000000142</v>
      </c>
      <c r="F68" s="309">
        <v>0.7</v>
      </c>
      <c r="G68" s="309">
        <v>0.37000000000000455</v>
      </c>
      <c r="H68" s="309">
        <v>0.55999999999998806</v>
      </c>
      <c r="I68" s="309">
        <v>1.8400000000000176</v>
      </c>
      <c r="J68" s="236">
        <v>0.7</v>
      </c>
      <c r="K68" s="309">
        <v>11.7</v>
      </c>
      <c r="L68" s="310">
        <v>27.9</v>
      </c>
    </row>
    <row r="69" spans="1:12" x14ac:dyDescent="0.3">
      <c r="A69" s="180" t="s">
        <v>56</v>
      </c>
      <c r="B69" s="293"/>
      <c r="C69" s="321"/>
      <c r="D69" s="321"/>
      <c r="E69" s="321"/>
      <c r="F69" s="321"/>
      <c r="G69" s="407"/>
      <c r="H69" s="407"/>
      <c r="I69" s="407"/>
      <c r="J69" s="407"/>
      <c r="K69" s="407"/>
      <c r="L69" s="407"/>
    </row>
    <row r="70" spans="1:12" x14ac:dyDescent="0.3">
      <c r="A70" s="30" t="s">
        <v>57</v>
      </c>
      <c r="B70" s="300" t="s">
        <v>10</v>
      </c>
      <c r="C70" s="309">
        <v>46.1</v>
      </c>
      <c r="D70" s="309">
        <v>40.9</v>
      </c>
      <c r="E70" s="309">
        <v>46.52</v>
      </c>
      <c r="F70" s="236">
        <v>40.49</v>
      </c>
      <c r="G70" s="236">
        <v>35.17</v>
      </c>
      <c r="H70" s="236">
        <v>33.64</v>
      </c>
      <c r="I70" s="236">
        <v>33.270000000000003</v>
      </c>
      <c r="J70" s="309">
        <v>31.894421675516</v>
      </c>
      <c r="K70" s="236">
        <v>30.706606372118998</v>
      </c>
      <c r="L70" s="239">
        <v>36.42</v>
      </c>
    </row>
    <row r="71" spans="1:12" x14ac:dyDescent="0.3">
      <c r="A71" s="100" t="s">
        <v>124</v>
      </c>
      <c r="B71" s="300" t="s">
        <v>10</v>
      </c>
      <c r="C71" s="322">
        <v>19.62</v>
      </c>
      <c r="D71" s="322">
        <v>15.62</v>
      </c>
      <c r="E71" s="322">
        <v>20.89</v>
      </c>
      <c r="F71" s="322">
        <v>19.350000000000001</v>
      </c>
      <c r="G71" s="322">
        <v>18.239999999999998</v>
      </c>
      <c r="H71" s="322">
        <v>18.809999999999999</v>
      </c>
      <c r="I71" s="322">
        <v>20.149999999999999</v>
      </c>
      <c r="J71" s="322">
        <v>20.761787499999997</v>
      </c>
      <c r="K71" s="322">
        <v>21.637285796</v>
      </c>
      <c r="L71" s="310">
        <v>22.768999999999998</v>
      </c>
    </row>
    <row r="72" spans="1:12" x14ac:dyDescent="0.3">
      <c r="A72" s="30" t="s">
        <v>58</v>
      </c>
      <c r="B72" s="300" t="s">
        <v>10</v>
      </c>
      <c r="C72" s="322">
        <v>26.43</v>
      </c>
      <c r="D72" s="322">
        <v>25.75</v>
      </c>
      <c r="E72" s="322">
        <v>23.13</v>
      </c>
      <c r="F72" s="322">
        <v>21.08</v>
      </c>
      <c r="G72" s="322">
        <v>16.809999999999999</v>
      </c>
      <c r="H72" s="322">
        <v>14.75</v>
      </c>
      <c r="I72" s="322">
        <v>13.54</v>
      </c>
      <c r="J72" s="322">
        <v>12.666201899999999</v>
      </c>
      <c r="K72" s="322">
        <v>10.956111643</v>
      </c>
      <c r="L72" s="310">
        <v>14.052</v>
      </c>
    </row>
    <row r="73" spans="1:12" x14ac:dyDescent="0.3">
      <c r="A73" s="180" t="s">
        <v>227</v>
      </c>
      <c r="B73" s="293"/>
      <c r="C73" s="294"/>
      <c r="D73" s="294"/>
      <c r="E73" s="294"/>
      <c r="F73" s="294"/>
      <c r="G73" s="401"/>
      <c r="H73" s="401"/>
      <c r="I73" s="401"/>
      <c r="J73" s="401"/>
      <c r="K73" s="401"/>
      <c r="L73" s="401"/>
    </row>
    <row r="74" spans="1:12" s="383" customFormat="1" ht="15" x14ac:dyDescent="0.3">
      <c r="A74" s="380" t="s">
        <v>257</v>
      </c>
      <c r="B74" s="381" t="s">
        <v>156</v>
      </c>
      <c r="C74" s="382" t="s">
        <v>118</v>
      </c>
      <c r="D74" s="382" t="s">
        <v>118</v>
      </c>
      <c r="E74" s="382" t="s">
        <v>118</v>
      </c>
      <c r="F74" s="382" t="s">
        <v>118</v>
      </c>
      <c r="G74" s="382" t="s">
        <v>118</v>
      </c>
      <c r="H74" s="323">
        <f>H75+H80+H81-H82</f>
        <v>176347</v>
      </c>
      <c r="I74" s="323">
        <f>I75+I80+I81-I82</f>
        <v>173367</v>
      </c>
      <c r="J74" s="323">
        <f>J75+J80+J81-J82</f>
        <v>159962</v>
      </c>
      <c r="K74" s="324">
        <f>K75+K80+K81-K82</f>
        <v>155792</v>
      </c>
      <c r="L74" s="324">
        <f>L75+L80+L81-L82</f>
        <v>152395</v>
      </c>
    </row>
    <row r="75" spans="1:12" s="147" customFormat="1" x14ac:dyDescent="0.3">
      <c r="A75" s="202" t="s">
        <v>219</v>
      </c>
      <c r="B75" s="317" t="s">
        <v>156</v>
      </c>
      <c r="C75" s="281" t="s">
        <v>118</v>
      </c>
      <c r="D75" s="281" t="s">
        <v>118</v>
      </c>
      <c r="E75" s="281" t="s">
        <v>118</v>
      </c>
      <c r="F75" s="281" t="s">
        <v>118</v>
      </c>
      <c r="G75" s="281" t="s">
        <v>118</v>
      </c>
      <c r="H75" s="325">
        <f>H76+H77+H78+H79</f>
        <v>161710</v>
      </c>
      <c r="I75" s="325">
        <f>I76+I77+I78+I79</f>
        <v>172425</v>
      </c>
      <c r="J75" s="325">
        <f>J76+J77+J78+J79</f>
        <v>156568</v>
      </c>
      <c r="K75" s="240">
        <f>K76+K77+K78+K79</f>
        <v>148910</v>
      </c>
      <c r="L75" s="240">
        <f>L76+L77+L78+L79+1</f>
        <v>144772</v>
      </c>
    </row>
    <row r="76" spans="1:12" x14ac:dyDescent="0.3">
      <c r="A76" s="203" t="s">
        <v>177</v>
      </c>
      <c r="B76" s="317" t="s">
        <v>156</v>
      </c>
      <c r="C76" s="281" t="s">
        <v>118</v>
      </c>
      <c r="D76" s="281" t="s">
        <v>118</v>
      </c>
      <c r="E76" s="281" t="s">
        <v>118</v>
      </c>
      <c r="F76" s="281" t="s">
        <v>118</v>
      </c>
      <c r="G76" s="281" t="s">
        <v>118</v>
      </c>
      <c r="H76" s="326">
        <v>145266</v>
      </c>
      <c r="I76" s="327">
        <v>151081</v>
      </c>
      <c r="J76" s="327">
        <v>134709</v>
      </c>
      <c r="K76" s="327">
        <v>129335</v>
      </c>
      <c r="L76" s="327">
        <v>125329</v>
      </c>
    </row>
    <row r="77" spans="1:12" x14ac:dyDescent="0.3">
      <c r="A77" s="203" t="s">
        <v>179</v>
      </c>
      <c r="B77" s="317" t="s">
        <v>156</v>
      </c>
      <c r="C77" s="281" t="s">
        <v>118</v>
      </c>
      <c r="D77" s="281" t="s">
        <v>118</v>
      </c>
      <c r="E77" s="281" t="s">
        <v>118</v>
      </c>
      <c r="F77" s="281" t="s">
        <v>118</v>
      </c>
      <c r="G77" s="281" t="s">
        <v>118</v>
      </c>
      <c r="H77" s="326">
        <v>12274</v>
      </c>
      <c r="I77" s="327">
        <v>15423</v>
      </c>
      <c r="J77" s="327">
        <v>15221</v>
      </c>
      <c r="K77" s="327">
        <v>13788</v>
      </c>
      <c r="L77" s="327">
        <v>13535</v>
      </c>
    </row>
    <row r="78" spans="1:12" x14ac:dyDescent="0.3">
      <c r="A78" s="203" t="s">
        <v>180</v>
      </c>
      <c r="B78" s="317" t="s">
        <v>156</v>
      </c>
      <c r="C78" s="281" t="s">
        <v>118</v>
      </c>
      <c r="D78" s="281" t="s">
        <v>118</v>
      </c>
      <c r="E78" s="281" t="s">
        <v>118</v>
      </c>
      <c r="F78" s="281" t="s">
        <v>118</v>
      </c>
      <c r="G78" s="281" t="s">
        <v>118</v>
      </c>
      <c r="H78" s="326">
        <v>0</v>
      </c>
      <c r="I78" s="327">
        <v>3789</v>
      </c>
      <c r="J78" s="327">
        <v>5178</v>
      </c>
      <c r="K78" s="327">
        <v>4127</v>
      </c>
      <c r="L78" s="327">
        <v>3820</v>
      </c>
    </row>
    <row r="79" spans="1:12" x14ac:dyDescent="0.3">
      <c r="A79" s="204" t="s">
        <v>178</v>
      </c>
      <c r="B79" s="317" t="s">
        <v>156</v>
      </c>
      <c r="C79" s="281" t="s">
        <v>118</v>
      </c>
      <c r="D79" s="281" t="s">
        <v>118</v>
      </c>
      <c r="E79" s="281" t="s">
        <v>118</v>
      </c>
      <c r="F79" s="281" t="s">
        <v>118</v>
      </c>
      <c r="G79" s="281" t="s">
        <v>118</v>
      </c>
      <c r="H79" s="326">
        <v>4170</v>
      </c>
      <c r="I79" s="327">
        <v>2132</v>
      </c>
      <c r="J79" s="327">
        <v>1460</v>
      </c>
      <c r="K79" s="327">
        <v>1660</v>
      </c>
      <c r="L79" s="327">
        <v>2087</v>
      </c>
    </row>
    <row r="80" spans="1:12" x14ac:dyDescent="0.3">
      <c r="A80" s="205" t="s">
        <v>220</v>
      </c>
      <c r="B80" s="317" t="s">
        <v>156</v>
      </c>
      <c r="C80" s="281" t="s">
        <v>118</v>
      </c>
      <c r="D80" s="281" t="s">
        <v>118</v>
      </c>
      <c r="E80" s="281" t="s">
        <v>118</v>
      </c>
      <c r="F80" s="281" t="s">
        <v>118</v>
      </c>
      <c r="G80" s="281" t="s">
        <v>118</v>
      </c>
      <c r="H80" s="326">
        <v>17027</v>
      </c>
      <c r="I80" s="325">
        <v>11856</v>
      </c>
      <c r="J80" s="325">
        <v>12414</v>
      </c>
      <c r="K80" s="325">
        <v>14877</v>
      </c>
      <c r="L80" s="325">
        <v>15058</v>
      </c>
    </row>
    <row r="81" spans="1:12" x14ac:dyDescent="0.3">
      <c r="A81" s="205" t="s">
        <v>222</v>
      </c>
      <c r="B81" s="317" t="s">
        <v>156</v>
      </c>
      <c r="C81" s="281" t="s">
        <v>118</v>
      </c>
      <c r="D81" s="281" t="s">
        <v>118</v>
      </c>
      <c r="E81" s="281" t="s">
        <v>118</v>
      </c>
      <c r="F81" s="281" t="s">
        <v>118</v>
      </c>
      <c r="G81" s="281" t="s">
        <v>118</v>
      </c>
      <c r="H81" s="326">
        <v>15528</v>
      </c>
      <c r="I81" s="325">
        <v>8968</v>
      </c>
      <c r="J81" s="325">
        <v>10483</v>
      </c>
      <c r="K81" s="325">
        <v>10931</v>
      </c>
      <c r="L81" s="325">
        <v>11331</v>
      </c>
    </row>
    <row r="82" spans="1:12" x14ac:dyDescent="0.3">
      <c r="A82" s="205" t="s">
        <v>221</v>
      </c>
      <c r="B82" s="317" t="s">
        <v>156</v>
      </c>
      <c r="C82" s="281" t="s">
        <v>118</v>
      </c>
      <c r="D82" s="281" t="s">
        <v>118</v>
      </c>
      <c r="E82" s="281" t="s">
        <v>118</v>
      </c>
      <c r="F82" s="281" t="s">
        <v>118</v>
      </c>
      <c r="G82" s="281" t="s">
        <v>118</v>
      </c>
      <c r="H82" s="326">
        <v>17918</v>
      </c>
      <c r="I82" s="325">
        <v>19882</v>
      </c>
      <c r="J82" s="325">
        <v>19503</v>
      </c>
      <c r="K82" s="325">
        <v>18926</v>
      </c>
      <c r="L82" s="325">
        <v>18766</v>
      </c>
    </row>
    <row r="83" spans="1:12" x14ac:dyDescent="0.3">
      <c r="A83" s="205" t="s">
        <v>224</v>
      </c>
      <c r="B83" s="317" t="s">
        <v>156</v>
      </c>
      <c r="C83" s="281" t="s">
        <v>118</v>
      </c>
      <c r="D83" s="281" t="s">
        <v>118</v>
      </c>
      <c r="E83" s="281" t="s">
        <v>118</v>
      </c>
      <c r="F83" s="281" t="s">
        <v>118</v>
      </c>
      <c r="G83" s="281" t="s">
        <v>118</v>
      </c>
      <c r="H83" s="328">
        <v>42943</v>
      </c>
      <c r="I83" s="329">
        <v>32530</v>
      </c>
      <c r="J83" s="329">
        <v>32355</v>
      </c>
      <c r="K83" s="330">
        <v>33242</v>
      </c>
      <c r="L83" s="325">
        <v>33338</v>
      </c>
    </row>
    <row r="84" spans="1:12" x14ac:dyDescent="0.3">
      <c r="A84" s="205" t="s">
        <v>223</v>
      </c>
      <c r="B84" s="179" t="s">
        <v>0</v>
      </c>
      <c r="C84" s="281" t="s">
        <v>118</v>
      </c>
      <c r="D84" s="281" t="s">
        <v>118</v>
      </c>
      <c r="E84" s="281" t="s">
        <v>118</v>
      </c>
      <c r="F84" s="281" t="s">
        <v>118</v>
      </c>
      <c r="G84" s="281" t="s">
        <v>118</v>
      </c>
      <c r="H84" s="331">
        <f>H79/H83</f>
        <v>9.7105465384346695E-2</v>
      </c>
      <c r="I84" s="332">
        <f>I79/I83</f>
        <v>6.5539501998155544E-2</v>
      </c>
      <c r="J84" s="332">
        <f>J79/J83</f>
        <v>4.5124401174470717E-2</v>
      </c>
      <c r="K84" s="332">
        <f>K79/K83</f>
        <v>4.9936826905721675E-2</v>
      </c>
      <c r="L84" s="333">
        <f>L79/L83</f>
        <v>6.2601235826984222E-2</v>
      </c>
    </row>
    <row r="85" spans="1:12" x14ac:dyDescent="0.3">
      <c r="A85" s="205" t="s">
        <v>225</v>
      </c>
      <c r="B85" s="179" t="s">
        <v>0</v>
      </c>
      <c r="C85" s="281" t="s">
        <v>118</v>
      </c>
      <c r="D85" s="281" t="s">
        <v>118</v>
      </c>
      <c r="E85" s="281" t="s">
        <v>118</v>
      </c>
      <c r="F85" s="281" t="s">
        <v>118</v>
      </c>
      <c r="G85" s="281" t="s">
        <v>118</v>
      </c>
      <c r="H85" s="334">
        <f>39.7%</f>
        <v>0.39700000000000002</v>
      </c>
      <c r="I85" s="332">
        <v>0.36399999999999999</v>
      </c>
      <c r="J85" s="332">
        <v>0.376</v>
      </c>
      <c r="K85" s="332">
        <v>0.436</v>
      </c>
      <c r="L85" s="332">
        <v>0.44500000000000001</v>
      </c>
    </row>
    <row r="86" spans="1:12" x14ac:dyDescent="0.3">
      <c r="A86" s="205" t="s">
        <v>226</v>
      </c>
      <c r="B86" s="179" t="s">
        <v>0</v>
      </c>
      <c r="C86" s="281" t="s">
        <v>118</v>
      </c>
      <c r="D86" s="281" t="s">
        <v>118</v>
      </c>
      <c r="E86" s="281" t="s">
        <v>118</v>
      </c>
      <c r="F86" s="281" t="s">
        <v>118</v>
      </c>
      <c r="G86" s="281" t="s">
        <v>118</v>
      </c>
      <c r="H86" s="331">
        <f>H76/H74</f>
        <v>0.82375090021378305</v>
      </c>
      <c r="I86" s="332">
        <f>I76/I74</f>
        <v>0.87145189107500276</v>
      </c>
      <c r="J86" s="332">
        <f>J76/J74</f>
        <v>0.84213125617334117</v>
      </c>
      <c r="K86" s="332">
        <f>K76/K74</f>
        <v>0.83017741604190198</v>
      </c>
      <c r="L86" s="332">
        <f>L76/L74</f>
        <v>0.82239574789199121</v>
      </c>
    </row>
    <row r="87" spans="1:12" x14ac:dyDescent="0.3">
      <c r="A87" s="180" t="s">
        <v>107</v>
      </c>
      <c r="B87" s="293"/>
      <c r="C87" s="295"/>
      <c r="D87" s="295"/>
      <c r="E87" s="295"/>
      <c r="F87" s="295"/>
      <c r="G87" s="411"/>
      <c r="H87" s="411"/>
      <c r="I87" s="411"/>
      <c r="J87" s="411"/>
      <c r="K87" s="411"/>
      <c r="L87" s="411"/>
    </row>
    <row r="88" spans="1:12" ht="15" x14ac:dyDescent="0.3">
      <c r="A88" s="30" t="s">
        <v>260</v>
      </c>
      <c r="B88" s="179" t="s">
        <v>13</v>
      </c>
      <c r="C88" s="277">
        <v>514.91603556140933</v>
      </c>
      <c r="D88" s="234">
        <v>603.19836679142566</v>
      </c>
      <c r="E88" s="234">
        <v>611.07001575917411</v>
      </c>
      <c r="F88" s="234">
        <v>571.46445616679227</v>
      </c>
      <c r="G88" s="234">
        <v>504.92299924261545</v>
      </c>
      <c r="H88" s="234">
        <v>387.15244455599685</v>
      </c>
      <c r="I88" s="278">
        <v>373</v>
      </c>
      <c r="J88" s="278">
        <v>444</v>
      </c>
      <c r="K88" s="278">
        <v>507</v>
      </c>
      <c r="L88" s="240">
        <v>596</v>
      </c>
    </row>
    <row r="89" spans="1:12" x14ac:dyDescent="0.3">
      <c r="A89" s="227" t="s">
        <v>199</v>
      </c>
      <c r="B89" s="119" t="s">
        <v>13</v>
      </c>
      <c r="C89" s="335" t="s">
        <v>2</v>
      </c>
      <c r="D89" s="335" t="s">
        <v>2</v>
      </c>
      <c r="E89" s="335" t="s">
        <v>2</v>
      </c>
      <c r="F89" s="335" t="s">
        <v>2</v>
      </c>
      <c r="G89" s="335" t="s">
        <v>2</v>
      </c>
      <c r="H89" s="335" t="s">
        <v>2</v>
      </c>
      <c r="I89" s="336">
        <v>11.2</v>
      </c>
      <c r="J89" s="337">
        <v>14.9</v>
      </c>
      <c r="K89" s="337">
        <v>11.2</v>
      </c>
      <c r="L89" s="338">
        <v>14</v>
      </c>
    </row>
    <row r="90" spans="1:12" x14ac:dyDescent="0.3">
      <c r="A90" s="68"/>
      <c r="B90" s="187"/>
      <c r="C90" s="339"/>
      <c r="D90" s="340"/>
      <c r="E90" s="340"/>
      <c r="F90" s="340"/>
      <c r="G90" s="341"/>
      <c r="H90" s="341"/>
      <c r="I90" s="341"/>
      <c r="J90" s="342"/>
      <c r="K90" s="343"/>
      <c r="L90" s="344"/>
    </row>
    <row r="91" spans="1:12" x14ac:dyDescent="0.3">
      <c r="A91" s="68"/>
      <c r="B91" s="174"/>
      <c r="C91" s="340"/>
      <c r="D91" s="340"/>
      <c r="E91" s="340"/>
      <c r="F91" s="340"/>
      <c r="G91" s="341"/>
      <c r="H91" s="341"/>
      <c r="I91" s="341"/>
      <c r="J91" s="343"/>
      <c r="K91" s="343"/>
      <c r="L91" s="344"/>
    </row>
    <row r="92" spans="1:12" x14ac:dyDescent="0.3">
      <c r="A92" s="148" t="s">
        <v>109</v>
      </c>
      <c r="B92" s="294"/>
      <c r="C92" s="295"/>
      <c r="D92" s="295"/>
      <c r="E92" s="295"/>
      <c r="F92" s="295"/>
      <c r="G92" s="401"/>
      <c r="H92" s="401"/>
      <c r="I92" s="401"/>
      <c r="J92" s="401"/>
      <c r="K92" s="401"/>
      <c r="L92" s="402"/>
    </row>
    <row r="93" spans="1:12" s="6" customFormat="1" ht="7.5" customHeight="1" x14ac:dyDescent="0.3">
      <c r="A93" s="63"/>
      <c r="B93" s="298"/>
      <c r="C93" s="297"/>
      <c r="D93" s="297"/>
      <c r="E93" s="297"/>
      <c r="F93" s="297"/>
      <c r="G93" s="297"/>
      <c r="H93" s="297"/>
      <c r="I93" s="298"/>
      <c r="J93" s="298"/>
      <c r="K93" s="298"/>
      <c r="L93" s="345"/>
    </row>
    <row r="94" spans="1:12" s="82" customFormat="1" x14ac:dyDescent="0.3">
      <c r="A94" s="64" t="s">
        <v>61</v>
      </c>
      <c r="B94" s="279"/>
      <c r="C94" s="346"/>
      <c r="D94" s="346"/>
      <c r="E94" s="346"/>
      <c r="F94" s="346"/>
      <c r="G94" s="394"/>
      <c r="H94" s="394"/>
      <c r="I94" s="394"/>
      <c r="J94" s="394"/>
      <c r="K94" s="394"/>
      <c r="L94" s="395"/>
    </row>
    <row r="95" spans="1:12" s="82" customFormat="1" x14ac:dyDescent="0.3">
      <c r="A95" s="83" t="s">
        <v>64</v>
      </c>
      <c r="B95" s="84" t="s">
        <v>9</v>
      </c>
      <c r="C95" s="281" t="s">
        <v>118</v>
      </c>
      <c r="D95" s="281" t="s">
        <v>118</v>
      </c>
      <c r="E95" s="281" t="s">
        <v>118</v>
      </c>
      <c r="F95" s="240">
        <f t="shared" ref="F95:L95" si="7">F96+F97</f>
        <v>82</v>
      </c>
      <c r="G95" s="240">
        <f t="shared" si="7"/>
        <v>51.8</v>
      </c>
      <c r="H95" s="240">
        <f t="shared" si="7"/>
        <v>71.7</v>
      </c>
      <c r="I95" s="241">
        <f t="shared" si="7"/>
        <v>71.599999999999994</v>
      </c>
      <c r="J95" s="240">
        <f t="shared" si="7"/>
        <v>70.7</v>
      </c>
      <c r="K95" s="241">
        <f t="shared" si="7"/>
        <v>85.2</v>
      </c>
      <c r="L95" s="241">
        <f t="shared" si="7"/>
        <v>39.6</v>
      </c>
    </row>
    <row r="96" spans="1:12" s="258" customFormat="1" x14ac:dyDescent="0.3">
      <c r="A96" s="256" t="s">
        <v>1</v>
      </c>
      <c r="B96" s="257" t="s">
        <v>9</v>
      </c>
      <c r="C96" s="281" t="s">
        <v>118</v>
      </c>
      <c r="D96" s="281" t="s">
        <v>118</v>
      </c>
      <c r="E96" s="281" t="s">
        <v>118</v>
      </c>
      <c r="F96" s="243">
        <v>2</v>
      </c>
      <c r="G96" s="243">
        <v>1.8</v>
      </c>
      <c r="H96" s="243">
        <v>1.7</v>
      </c>
      <c r="I96" s="245">
        <v>1.6</v>
      </c>
      <c r="J96" s="243">
        <v>1.7</v>
      </c>
      <c r="K96" s="245">
        <v>1.2</v>
      </c>
      <c r="L96" s="245">
        <v>1.6</v>
      </c>
    </row>
    <row r="97" spans="1:12" s="258" customFormat="1" x14ac:dyDescent="0.3">
      <c r="A97" s="256" t="s">
        <v>228</v>
      </c>
      <c r="B97" s="257" t="s">
        <v>9</v>
      </c>
      <c r="C97" s="281" t="s">
        <v>118</v>
      </c>
      <c r="D97" s="281" t="s">
        <v>118</v>
      </c>
      <c r="E97" s="281" t="s">
        <v>118</v>
      </c>
      <c r="F97" s="243">
        <v>80</v>
      </c>
      <c r="G97" s="243">
        <v>50</v>
      </c>
      <c r="H97" s="243">
        <v>70</v>
      </c>
      <c r="I97" s="245">
        <v>70</v>
      </c>
      <c r="J97" s="243">
        <v>69</v>
      </c>
      <c r="K97" s="245">
        <v>84</v>
      </c>
      <c r="L97" s="245">
        <v>38</v>
      </c>
    </row>
    <row r="98" spans="1:12" s="82" customFormat="1" x14ac:dyDescent="0.3">
      <c r="A98" s="64" t="s">
        <v>62</v>
      </c>
      <c r="B98" s="347"/>
      <c r="C98" s="347"/>
      <c r="D98" s="346"/>
      <c r="E98" s="346"/>
      <c r="F98" s="346"/>
      <c r="G98" s="346"/>
      <c r="H98" s="346"/>
      <c r="I98" s="346"/>
      <c r="J98" s="346"/>
      <c r="K98" s="346"/>
      <c r="L98" s="348"/>
    </row>
    <row r="99" spans="1:12" s="82" customFormat="1" ht="15" x14ac:dyDescent="0.3">
      <c r="A99" s="83" t="s">
        <v>65</v>
      </c>
      <c r="B99" s="300" t="s">
        <v>240</v>
      </c>
      <c r="C99" s="281" t="s">
        <v>118</v>
      </c>
      <c r="D99" s="281" t="s">
        <v>118</v>
      </c>
      <c r="E99" s="240">
        <f>728/1000</f>
        <v>0.72799999999999998</v>
      </c>
      <c r="F99" s="240">
        <f>625/1000</f>
        <v>0.625</v>
      </c>
      <c r="G99" s="242">
        <f>625/1000</f>
        <v>0.625</v>
      </c>
      <c r="H99" s="240">
        <f>728/1000</f>
        <v>0.72799999999999998</v>
      </c>
      <c r="I99" s="241">
        <f>771/1000</f>
        <v>0.77100000000000002</v>
      </c>
      <c r="J99" s="240">
        <f>899/1000</f>
        <v>0.89900000000000002</v>
      </c>
      <c r="K99" s="241">
        <f>988/1000</f>
        <v>0.98799999999999999</v>
      </c>
      <c r="L99" s="241">
        <f>961/1000</f>
        <v>0.96099999999999997</v>
      </c>
    </row>
    <row r="100" spans="1:12" s="82" customFormat="1" x14ac:dyDescent="0.3">
      <c r="A100" s="83" t="s">
        <v>66</v>
      </c>
      <c r="B100" s="84" t="s">
        <v>9</v>
      </c>
      <c r="C100" s="281" t="s">
        <v>118</v>
      </c>
      <c r="D100" s="281" t="s">
        <v>118</v>
      </c>
      <c r="E100" s="240">
        <f t="shared" ref="E100:J100" si="8">E101+E102+E103</f>
        <v>21.926500000000001</v>
      </c>
      <c r="F100" s="240">
        <f t="shared" si="8"/>
        <v>19.448800000000002</v>
      </c>
      <c r="G100" s="242">
        <f t="shared" si="8"/>
        <v>19.392600000000002</v>
      </c>
      <c r="H100" s="240">
        <f t="shared" si="8"/>
        <v>20.087399999999999</v>
      </c>
      <c r="I100" s="241">
        <f t="shared" si="8"/>
        <v>22.506899999999998</v>
      </c>
      <c r="J100" s="240">
        <f t="shared" si="8"/>
        <v>25.913800000000002</v>
      </c>
      <c r="K100" s="241">
        <f>K101+K102+K103</f>
        <v>30.2592</v>
      </c>
      <c r="L100" s="241">
        <f>L101+L102+L103</f>
        <v>30.5595</v>
      </c>
    </row>
    <row r="101" spans="1:12" s="258" customFormat="1" x14ac:dyDescent="0.3">
      <c r="A101" s="256" t="s">
        <v>1</v>
      </c>
      <c r="B101" s="257" t="s">
        <v>9</v>
      </c>
      <c r="C101" s="281" t="s">
        <v>118</v>
      </c>
      <c r="D101" s="281" t="s">
        <v>118</v>
      </c>
      <c r="E101" s="243">
        <f>0.5/1000</f>
        <v>5.0000000000000001E-4</v>
      </c>
      <c r="F101" s="243">
        <f>0.5/1000</f>
        <v>5.0000000000000001E-4</v>
      </c>
      <c r="G101" s="244">
        <f>66.6/1000</f>
        <v>6.6599999999999993E-2</v>
      </c>
      <c r="H101" s="243">
        <f>0.4/1000</f>
        <v>4.0000000000000002E-4</v>
      </c>
      <c r="I101" s="245">
        <f>0.4/1000</f>
        <v>4.0000000000000002E-4</v>
      </c>
      <c r="J101" s="243">
        <f>0.5/1000</f>
        <v>5.0000000000000001E-4</v>
      </c>
      <c r="K101" s="245">
        <f>0.6/1000</f>
        <v>5.9999999999999995E-4</v>
      </c>
      <c r="L101" s="245">
        <f>0.5/1000</f>
        <v>5.0000000000000001E-4</v>
      </c>
    </row>
    <row r="102" spans="1:12" s="258" customFormat="1" ht="15" x14ac:dyDescent="0.3">
      <c r="A102" s="259" t="s">
        <v>229</v>
      </c>
      <c r="B102" s="257" t="s">
        <v>9</v>
      </c>
      <c r="C102" s="281" t="s">
        <v>118</v>
      </c>
      <c r="D102" s="281" t="s">
        <v>118</v>
      </c>
      <c r="E102" s="243">
        <f>21879/1000</f>
        <v>21.879000000000001</v>
      </c>
      <c r="F102" s="243">
        <f>19420/1000</f>
        <v>19.420000000000002</v>
      </c>
      <c r="G102" s="244">
        <f>19281/1000</f>
        <v>19.280999999999999</v>
      </c>
      <c r="H102" s="243">
        <f>20051/1000</f>
        <v>20.050999999999998</v>
      </c>
      <c r="I102" s="245">
        <f>22457/1000</f>
        <v>22.457000000000001</v>
      </c>
      <c r="J102" s="243">
        <f>25853/1000</f>
        <v>25.853000000000002</v>
      </c>
      <c r="K102" s="245">
        <f>30189/1000</f>
        <v>30.189</v>
      </c>
      <c r="L102" s="245">
        <f>30497/1000</f>
        <v>30.497</v>
      </c>
    </row>
    <row r="103" spans="1:12" s="258" customFormat="1" x14ac:dyDescent="0.3">
      <c r="A103" s="256" t="s">
        <v>230</v>
      </c>
      <c r="B103" s="257" t="s">
        <v>9</v>
      </c>
      <c r="C103" s="281" t="s">
        <v>118</v>
      </c>
      <c r="D103" s="281" t="s">
        <v>118</v>
      </c>
      <c r="E103" s="243">
        <f>47/1000</f>
        <v>4.7E-2</v>
      </c>
      <c r="F103" s="243">
        <f>28.3/1000</f>
        <v>2.8300000000000002E-2</v>
      </c>
      <c r="G103" s="244">
        <f>45/1000</f>
        <v>4.4999999999999998E-2</v>
      </c>
      <c r="H103" s="243">
        <f>36/1000</f>
        <v>3.5999999999999997E-2</v>
      </c>
      <c r="I103" s="245">
        <f>49.5/1000</f>
        <v>4.9500000000000002E-2</v>
      </c>
      <c r="J103" s="246">
        <f>60.3/1000</f>
        <v>6.0299999999999999E-2</v>
      </c>
      <c r="K103" s="247">
        <f>69.6/1000</f>
        <v>6.9599999999999995E-2</v>
      </c>
      <c r="L103" s="247">
        <f>62/1000</f>
        <v>6.2E-2</v>
      </c>
    </row>
    <row r="104" spans="1:12" s="82" customFormat="1" ht="15" x14ac:dyDescent="0.3">
      <c r="A104" s="83" t="s">
        <v>67</v>
      </c>
      <c r="B104" s="300" t="s">
        <v>238</v>
      </c>
      <c r="C104" s="281" t="s">
        <v>118</v>
      </c>
      <c r="D104" s="281" t="s">
        <v>118</v>
      </c>
      <c r="E104" s="240">
        <v>9.9</v>
      </c>
      <c r="F104" s="240">
        <v>11.5</v>
      </c>
      <c r="G104" s="240">
        <v>10.9</v>
      </c>
      <c r="H104" s="240">
        <v>10.4</v>
      </c>
      <c r="I104" s="241">
        <v>10.9</v>
      </c>
      <c r="J104" s="240">
        <v>11.1</v>
      </c>
      <c r="K104" s="241">
        <v>11.8</v>
      </c>
      <c r="L104" s="241">
        <v>11.5</v>
      </c>
    </row>
    <row r="105" spans="1:12" s="82" customFormat="1" x14ac:dyDescent="0.3">
      <c r="A105" s="64" t="s">
        <v>63</v>
      </c>
      <c r="B105" s="349"/>
      <c r="C105" s="347"/>
      <c r="D105" s="346"/>
      <c r="E105" s="346"/>
      <c r="F105" s="346"/>
      <c r="G105" s="346"/>
      <c r="H105" s="346"/>
      <c r="I105" s="346"/>
      <c r="J105" s="346"/>
      <c r="K105" s="346"/>
      <c r="L105" s="348"/>
    </row>
    <row r="106" spans="1:12" s="82" customFormat="1" x14ac:dyDescent="0.3">
      <c r="A106" s="83" t="s">
        <v>57</v>
      </c>
      <c r="B106" s="84" t="s">
        <v>8</v>
      </c>
      <c r="C106" s="248">
        <v>31.5</v>
      </c>
      <c r="D106" s="249">
        <v>15.1</v>
      </c>
      <c r="E106" s="250">
        <v>9.9</v>
      </c>
      <c r="F106" s="249">
        <v>22</v>
      </c>
      <c r="G106" s="249">
        <v>30.8</v>
      </c>
      <c r="H106" s="249">
        <v>16.5</v>
      </c>
      <c r="I106" s="250">
        <v>7</v>
      </c>
      <c r="J106" s="249">
        <v>5.5</v>
      </c>
      <c r="K106" s="250">
        <v>2.8</v>
      </c>
      <c r="L106" s="250">
        <v>5.7</v>
      </c>
    </row>
    <row r="107" spans="1:12" s="82" customFormat="1" x14ac:dyDescent="0.3">
      <c r="A107" s="83" t="s">
        <v>68</v>
      </c>
      <c r="B107" s="84" t="s">
        <v>8</v>
      </c>
      <c r="C107" s="248">
        <v>30.9</v>
      </c>
      <c r="D107" s="250">
        <v>14.5</v>
      </c>
      <c r="E107" s="249">
        <v>9.4</v>
      </c>
      <c r="F107" s="249">
        <v>21.3</v>
      </c>
      <c r="G107" s="249">
        <v>29.8</v>
      </c>
      <c r="H107" s="249">
        <v>15.7</v>
      </c>
      <c r="I107" s="250">
        <v>0.8</v>
      </c>
      <c r="J107" s="249">
        <v>0.8</v>
      </c>
      <c r="K107" s="250">
        <v>1.1000000000000001</v>
      </c>
      <c r="L107" s="250">
        <v>1.3</v>
      </c>
    </row>
    <row r="108" spans="1:12" s="82" customFormat="1" x14ac:dyDescent="0.3">
      <c r="A108" s="64" t="s">
        <v>125</v>
      </c>
      <c r="B108" s="349"/>
      <c r="C108" s="347"/>
      <c r="D108" s="346"/>
      <c r="E108" s="346"/>
      <c r="F108" s="346"/>
      <c r="G108" s="346"/>
      <c r="H108" s="346"/>
      <c r="I108" s="346"/>
      <c r="J108" s="346"/>
      <c r="K108" s="346"/>
      <c r="L108" s="348"/>
    </row>
    <row r="109" spans="1:12" s="82" customFormat="1" x14ac:dyDescent="0.3">
      <c r="A109" s="83" t="s">
        <v>69</v>
      </c>
      <c r="B109" s="84" t="s">
        <v>14</v>
      </c>
      <c r="C109" s="281" t="s">
        <v>118</v>
      </c>
      <c r="D109" s="281" t="s">
        <v>118</v>
      </c>
      <c r="E109" s="281" t="s">
        <v>118</v>
      </c>
      <c r="F109" s="251">
        <v>181</v>
      </c>
      <c r="G109" s="251">
        <v>164</v>
      </c>
      <c r="H109" s="251">
        <v>165</v>
      </c>
      <c r="I109" s="252">
        <v>180</v>
      </c>
      <c r="J109" s="252">
        <v>182</v>
      </c>
      <c r="K109" s="241">
        <v>209</v>
      </c>
      <c r="L109" s="241">
        <v>195</v>
      </c>
    </row>
    <row r="110" spans="1:12" s="82" customFormat="1" x14ac:dyDescent="0.3">
      <c r="A110" s="83" t="s">
        <v>70</v>
      </c>
      <c r="B110" s="84" t="s">
        <v>14</v>
      </c>
      <c r="C110" s="281" t="s">
        <v>118</v>
      </c>
      <c r="D110" s="281" t="s">
        <v>118</v>
      </c>
      <c r="E110" s="281" t="s">
        <v>118</v>
      </c>
      <c r="F110" s="251">
        <v>124</v>
      </c>
      <c r="G110" s="251">
        <v>122</v>
      </c>
      <c r="H110" s="251">
        <v>122</v>
      </c>
      <c r="I110" s="252">
        <v>130</v>
      </c>
      <c r="J110" s="252">
        <v>145</v>
      </c>
      <c r="K110" s="241">
        <v>150</v>
      </c>
      <c r="L110" s="241">
        <v>142</v>
      </c>
    </row>
    <row r="111" spans="1:12" s="82" customFormat="1" x14ac:dyDescent="0.3">
      <c r="A111" s="83" t="s">
        <v>71</v>
      </c>
      <c r="B111" s="84" t="s">
        <v>14</v>
      </c>
      <c r="C111" s="281" t="s">
        <v>118</v>
      </c>
      <c r="D111" s="281" t="s">
        <v>118</v>
      </c>
      <c r="E111" s="281" t="s">
        <v>118</v>
      </c>
      <c r="F111" s="251">
        <v>201</v>
      </c>
      <c r="G111" s="251">
        <v>203</v>
      </c>
      <c r="H111" s="251">
        <v>198</v>
      </c>
      <c r="I111" s="252">
        <v>225</v>
      </c>
      <c r="J111" s="252">
        <v>235</v>
      </c>
      <c r="K111" s="241">
        <v>327</v>
      </c>
      <c r="L111" s="241">
        <v>230</v>
      </c>
    </row>
    <row r="112" spans="1:12" s="82" customFormat="1" x14ac:dyDescent="0.3">
      <c r="A112" s="64" t="s">
        <v>198</v>
      </c>
      <c r="B112" s="349"/>
      <c r="C112" s="347"/>
      <c r="D112" s="346"/>
      <c r="E112" s="346"/>
      <c r="F112" s="346"/>
      <c r="G112" s="346"/>
      <c r="H112" s="346"/>
      <c r="I112" s="346"/>
      <c r="J112" s="346"/>
      <c r="K112" s="346"/>
      <c r="L112" s="348"/>
    </row>
    <row r="113" spans="1:14" s="82" customFormat="1" x14ac:dyDescent="0.3">
      <c r="A113" s="101" t="s">
        <v>108</v>
      </c>
      <c r="B113" s="119" t="s">
        <v>13</v>
      </c>
      <c r="C113" s="253">
        <v>2.7</v>
      </c>
      <c r="D113" s="254">
        <v>3.36</v>
      </c>
      <c r="E113" s="254">
        <v>2.5</v>
      </c>
      <c r="F113" s="254">
        <v>3</v>
      </c>
      <c r="G113" s="253">
        <v>3</v>
      </c>
      <c r="H113" s="253">
        <v>3</v>
      </c>
      <c r="I113" s="253">
        <v>2.7</v>
      </c>
      <c r="J113" s="255">
        <v>1</v>
      </c>
      <c r="K113" s="255">
        <v>0.7</v>
      </c>
      <c r="L113" s="255">
        <v>2.7</v>
      </c>
    </row>
    <row r="114" spans="1:14" s="82" customFormat="1" x14ac:dyDescent="0.3">
      <c r="A114" s="118"/>
      <c r="B114" s="174"/>
      <c r="C114" s="175"/>
      <c r="D114" s="175"/>
      <c r="E114" s="175"/>
      <c r="F114" s="175"/>
      <c r="G114" s="175"/>
      <c r="H114" s="175"/>
      <c r="I114" s="175"/>
      <c r="J114" s="176"/>
      <c r="K114" s="176"/>
      <c r="N114" s="188"/>
    </row>
    <row r="115" spans="1:14" s="82" customFormat="1" x14ac:dyDescent="0.3">
      <c r="A115" s="148" t="s">
        <v>218</v>
      </c>
      <c r="B115" s="294"/>
      <c r="C115" s="295"/>
      <c r="D115" s="294"/>
      <c r="E115" s="294"/>
      <c r="F115" s="294"/>
      <c r="G115" s="401"/>
      <c r="H115" s="401"/>
      <c r="I115" s="401"/>
      <c r="J115" s="401"/>
      <c r="K115" s="401"/>
      <c r="L115" s="402"/>
    </row>
    <row r="116" spans="1:14" s="82" customFormat="1" x14ac:dyDescent="0.3">
      <c r="A116" s="101" t="s">
        <v>18</v>
      </c>
      <c r="B116" s="94" t="s">
        <v>12</v>
      </c>
      <c r="C116" s="350">
        <v>30.37</v>
      </c>
      <c r="D116" s="351">
        <v>29.39</v>
      </c>
      <c r="E116" s="351">
        <v>31.093</v>
      </c>
      <c r="F116" s="351">
        <v>31.847999999999999</v>
      </c>
      <c r="G116" s="351">
        <v>38.421700000000001</v>
      </c>
      <c r="H116" s="351">
        <v>60.957900000000002</v>
      </c>
      <c r="I116" s="351">
        <v>67.034899999999993</v>
      </c>
      <c r="J116" s="351">
        <v>58.352899999999998</v>
      </c>
      <c r="K116" s="351">
        <v>62.707799999999999</v>
      </c>
      <c r="L116" s="352">
        <v>64.736199999999997</v>
      </c>
    </row>
    <row r="117" spans="1:14" s="82" customFormat="1" x14ac:dyDescent="0.3">
      <c r="A117" s="118"/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</row>
    <row r="118" spans="1:14" x14ac:dyDescent="0.3">
      <c r="A118" s="47" t="s">
        <v>164</v>
      </c>
      <c r="B118" s="95"/>
      <c r="C118" s="173"/>
      <c r="D118" s="173"/>
      <c r="E118" s="173"/>
      <c r="F118" s="173"/>
      <c r="G118" s="408"/>
      <c r="H118" s="408"/>
      <c r="I118" s="408"/>
      <c r="J118" s="408"/>
      <c r="K118" s="408"/>
      <c r="L118" s="409"/>
    </row>
    <row r="119" spans="1:14" ht="54.75" customHeight="1" x14ac:dyDescent="0.3">
      <c r="A119" s="161" t="s">
        <v>162</v>
      </c>
      <c r="B119" s="162" t="s">
        <v>163</v>
      </c>
      <c r="C119" s="410" t="s">
        <v>52</v>
      </c>
      <c r="D119" s="410"/>
      <c r="E119" s="410"/>
      <c r="F119" s="410"/>
      <c r="G119" s="410"/>
      <c r="H119" s="410"/>
      <c r="I119" s="410"/>
      <c r="J119" s="410"/>
      <c r="K119" s="410"/>
      <c r="L119" s="410"/>
    </row>
    <row r="120" spans="1:14" ht="26.25" customHeight="1" x14ac:dyDescent="0.3">
      <c r="A120" s="265" t="s">
        <v>11</v>
      </c>
      <c r="B120" s="266" t="s">
        <v>207</v>
      </c>
      <c r="C120" s="414" t="s">
        <v>50</v>
      </c>
      <c r="D120" s="414"/>
      <c r="E120" s="414"/>
      <c r="F120" s="414"/>
      <c r="G120" s="414"/>
      <c r="H120" s="414"/>
      <c r="I120" s="414"/>
      <c r="J120" s="414"/>
      <c r="K120" s="414"/>
      <c r="L120" s="414"/>
    </row>
    <row r="121" spans="1:14" ht="66.75" customHeight="1" x14ac:dyDescent="0.3">
      <c r="A121" s="265" t="s">
        <v>231</v>
      </c>
      <c r="B121" s="266" t="s">
        <v>165</v>
      </c>
      <c r="C121" s="415" t="s">
        <v>161</v>
      </c>
      <c r="D121" s="415"/>
      <c r="E121" s="415"/>
      <c r="F121" s="415"/>
      <c r="G121" s="415"/>
      <c r="H121" s="415"/>
      <c r="I121" s="415"/>
      <c r="J121" s="415"/>
      <c r="K121" s="415"/>
      <c r="L121" s="415"/>
    </row>
    <row r="122" spans="1:14" ht="63" customHeight="1" x14ac:dyDescent="0.3">
      <c r="A122" s="265" t="s">
        <v>7</v>
      </c>
      <c r="B122" s="266" t="s">
        <v>208</v>
      </c>
      <c r="C122" s="416" t="s">
        <v>232</v>
      </c>
      <c r="D122" s="416"/>
      <c r="E122" s="416"/>
      <c r="F122" s="416"/>
      <c r="G122" s="416"/>
      <c r="H122" s="416"/>
      <c r="I122" s="416"/>
      <c r="J122" s="416"/>
      <c r="K122" s="416"/>
      <c r="L122" s="416"/>
    </row>
    <row r="123" spans="1:14" ht="76.5" customHeight="1" x14ac:dyDescent="0.3">
      <c r="A123" s="265" t="s">
        <v>45</v>
      </c>
      <c r="B123" s="266" t="s">
        <v>209</v>
      </c>
      <c r="C123" s="414" t="s">
        <v>51</v>
      </c>
      <c r="D123" s="414"/>
      <c r="E123" s="414"/>
      <c r="F123" s="414"/>
      <c r="G123" s="414"/>
      <c r="H123" s="414"/>
      <c r="I123" s="414"/>
      <c r="J123" s="414"/>
      <c r="K123" s="414"/>
      <c r="L123" s="414"/>
    </row>
    <row r="124" spans="1:14" ht="51.75" customHeight="1" x14ac:dyDescent="0.3">
      <c r="A124" s="265" t="s">
        <v>3</v>
      </c>
      <c r="B124" s="266" t="s">
        <v>208</v>
      </c>
      <c r="C124" s="414" t="s">
        <v>160</v>
      </c>
      <c r="D124" s="414"/>
      <c r="E124" s="414"/>
      <c r="F124" s="414"/>
      <c r="G124" s="414"/>
      <c r="H124" s="414"/>
      <c r="I124" s="414"/>
      <c r="J124" s="414"/>
      <c r="K124" s="414"/>
      <c r="L124" s="414"/>
    </row>
    <row r="125" spans="1:14" x14ac:dyDescent="0.3">
      <c r="A125" s="8"/>
      <c r="B125" s="163"/>
      <c r="C125" s="164"/>
      <c r="D125" s="165"/>
      <c r="E125" s="165"/>
      <c r="F125" s="165"/>
      <c r="G125" s="165"/>
      <c r="H125" s="165"/>
      <c r="I125" s="165"/>
      <c r="J125" s="165"/>
      <c r="K125" s="165"/>
    </row>
    <row r="126" spans="1:14" x14ac:dyDescent="0.3">
      <c r="A126" s="217" t="s">
        <v>41</v>
      </c>
      <c r="B126" s="218"/>
      <c r="C126" s="218"/>
      <c r="D126" s="218"/>
      <c r="E126" s="218"/>
      <c r="F126" s="218"/>
      <c r="G126" s="218"/>
      <c r="H126" s="218"/>
      <c r="I126" s="218"/>
      <c r="J126" s="15"/>
      <c r="K126" s="15"/>
    </row>
    <row r="127" spans="1:14" s="99" customFormat="1" x14ac:dyDescent="0.3">
      <c r="A127" s="213" t="s">
        <v>197</v>
      </c>
      <c r="B127" s="213"/>
      <c r="C127" s="213"/>
      <c r="D127" s="213"/>
      <c r="E127" s="213"/>
      <c r="F127" s="213"/>
      <c r="G127" s="213"/>
      <c r="H127" s="213"/>
      <c r="I127" s="213"/>
      <c r="J127" s="160"/>
      <c r="K127" s="160"/>
    </row>
    <row r="128" spans="1:14" s="99" customFormat="1" ht="14.25" customHeight="1" x14ac:dyDescent="0.3">
      <c r="A128" s="213" t="s">
        <v>233</v>
      </c>
      <c r="B128" s="213"/>
      <c r="C128" s="213"/>
      <c r="D128" s="213"/>
      <c r="E128" s="213"/>
      <c r="F128" s="213"/>
      <c r="G128" s="213"/>
      <c r="H128" s="213"/>
      <c r="I128" s="213"/>
      <c r="J128" s="160"/>
      <c r="K128" s="160"/>
    </row>
    <row r="129" spans="1:11" s="99" customFormat="1" x14ac:dyDescent="0.3">
      <c r="A129" s="211" t="s">
        <v>241</v>
      </c>
      <c r="B129" s="219"/>
      <c r="C129" s="220"/>
      <c r="D129" s="220"/>
      <c r="E129" s="220"/>
      <c r="F129" s="220"/>
      <c r="G129" s="220"/>
      <c r="H129" s="216"/>
      <c r="I129" s="216"/>
      <c r="J129" s="159"/>
      <c r="K129" s="159"/>
    </row>
    <row r="130" spans="1:11" s="99" customFormat="1" x14ac:dyDescent="0.3">
      <c r="A130" s="211" t="s">
        <v>261</v>
      </c>
      <c r="B130" s="219"/>
      <c r="C130" s="220"/>
      <c r="D130" s="220"/>
      <c r="E130" s="220"/>
      <c r="F130" s="220"/>
      <c r="G130" s="220"/>
      <c r="H130" s="216"/>
      <c r="I130" s="216"/>
      <c r="J130" s="159"/>
      <c r="K130" s="159"/>
    </row>
    <row r="131" spans="1:11" s="99" customFormat="1" x14ac:dyDescent="0.3">
      <c r="A131" s="211" t="s">
        <v>259</v>
      </c>
      <c r="B131" s="219"/>
      <c r="C131" s="220"/>
      <c r="D131" s="220"/>
      <c r="E131" s="220"/>
      <c r="F131" s="220"/>
      <c r="G131" s="220"/>
      <c r="H131" s="216"/>
      <c r="I131" s="216"/>
      <c r="J131" s="159"/>
      <c r="K131" s="159"/>
    </row>
    <row r="132" spans="1:11" s="99" customFormat="1" x14ac:dyDescent="0.3">
      <c r="A132" s="201"/>
      <c r="B132" s="201"/>
      <c r="C132" s="201"/>
      <c r="D132" s="201"/>
      <c r="E132" s="201"/>
      <c r="F132" s="201"/>
      <c r="G132" s="201"/>
      <c r="H132" s="201"/>
      <c r="I132" s="201"/>
    </row>
    <row r="133" spans="1:11" x14ac:dyDescent="0.3">
      <c r="A133" s="153" t="s">
        <v>138</v>
      </c>
      <c r="B133" s="80"/>
      <c r="C133" s="80"/>
      <c r="D133" s="80"/>
      <c r="E133" s="262"/>
      <c r="F133" s="80"/>
      <c r="G133" s="80"/>
      <c r="H133" s="80"/>
      <c r="I133" s="80"/>
      <c r="J133" s="80"/>
      <c r="K133" s="80"/>
    </row>
    <row r="134" spans="1:11" x14ac:dyDescent="0.3">
      <c r="A134" s="154" t="s">
        <v>72</v>
      </c>
      <c r="B134" s="80"/>
      <c r="C134" s="80"/>
      <c r="D134" s="80"/>
      <c r="E134" s="80"/>
      <c r="F134" s="80"/>
      <c r="G134" s="80"/>
      <c r="H134" s="80"/>
      <c r="I134" s="80"/>
    </row>
    <row r="135" spans="1:11" x14ac:dyDescent="0.3">
      <c r="A135" s="155" t="s">
        <v>74</v>
      </c>
      <c r="B135" s="80"/>
      <c r="C135" s="80"/>
      <c r="D135" s="80"/>
      <c r="E135" s="80"/>
      <c r="F135" s="80"/>
      <c r="G135" s="80"/>
      <c r="H135" s="80"/>
      <c r="I135" s="80"/>
    </row>
    <row r="136" spans="1:11" x14ac:dyDescent="0.3">
      <c r="A136" s="154" t="s">
        <v>153</v>
      </c>
      <c r="B136" s="80"/>
      <c r="C136" s="80"/>
      <c r="D136" s="80"/>
      <c r="E136" s="80"/>
      <c r="F136" s="80"/>
      <c r="G136" s="80"/>
      <c r="H136" s="80"/>
      <c r="I136" s="80"/>
    </row>
    <row r="137" spans="1:11" x14ac:dyDescent="0.3">
      <c r="A137" s="154" t="s">
        <v>154</v>
      </c>
      <c r="B137" s="412"/>
      <c r="C137" s="413"/>
      <c r="D137" s="413"/>
      <c r="E137" s="413"/>
      <c r="F137" s="413"/>
      <c r="G137" s="413"/>
      <c r="H137" s="413"/>
      <c r="I137" s="413"/>
    </row>
    <row r="138" spans="1:11" x14ac:dyDescent="0.3">
      <c r="A138" s="154" t="s">
        <v>155</v>
      </c>
      <c r="B138" s="412"/>
      <c r="C138" s="413"/>
      <c r="D138" s="413"/>
      <c r="E138" s="413"/>
      <c r="F138" s="413"/>
      <c r="G138" s="413"/>
      <c r="H138" s="413"/>
      <c r="I138" s="413"/>
    </row>
    <row r="139" spans="1:11" x14ac:dyDescent="0.3">
      <c r="A139" s="156"/>
      <c r="B139" s="80"/>
      <c r="C139" s="80"/>
      <c r="D139" s="80"/>
      <c r="E139" s="80"/>
      <c r="F139" s="80"/>
      <c r="G139" s="80"/>
      <c r="H139" s="80"/>
      <c r="I139" s="80"/>
    </row>
    <row r="145" spans="1:1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62" spans="3:3" x14ac:dyDescent="0.3">
      <c r="C162" s="80"/>
    </row>
  </sheetData>
  <mergeCells count="39">
    <mergeCell ref="B138:I138"/>
    <mergeCell ref="C120:L120"/>
    <mergeCell ref="C121:L121"/>
    <mergeCell ref="C122:L122"/>
    <mergeCell ref="C123:L123"/>
    <mergeCell ref="C124:L124"/>
    <mergeCell ref="B137:I137"/>
    <mergeCell ref="G69:L69"/>
    <mergeCell ref="G73:L73"/>
    <mergeCell ref="G115:L115"/>
    <mergeCell ref="G118:L118"/>
    <mergeCell ref="C119:L119"/>
    <mergeCell ref="G87:L87"/>
    <mergeCell ref="G92:L92"/>
    <mergeCell ref="G94:L94"/>
    <mergeCell ref="A1:A3"/>
    <mergeCell ref="B1:B3"/>
    <mergeCell ref="C1:C3"/>
    <mergeCell ref="D1:D3"/>
    <mergeCell ref="K36:L36"/>
    <mergeCell ref="L1:L3"/>
    <mergeCell ref="C13:L13"/>
    <mergeCell ref="C19:L19"/>
    <mergeCell ref="C25:L25"/>
    <mergeCell ref="C31:L31"/>
    <mergeCell ref="H1:H3"/>
    <mergeCell ref="I1:I3"/>
    <mergeCell ref="J1:J3"/>
    <mergeCell ref="K1:K3"/>
    <mergeCell ref="G1:G3"/>
    <mergeCell ref="E1:E3"/>
    <mergeCell ref="F1:F3"/>
    <mergeCell ref="C57:L57"/>
    <mergeCell ref="C61:L61"/>
    <mergeCell ref="C65:L65"/>
    <mergeCell ref="C38:L38"/>
    <mergeCell ref="C43:L43"/>
    <mergeCell ref="C48:L48"/>
    <mergeCell ref="C53:L53"/>
  </mergeCells>
  <hyperlinks>
    <hyperlink ref="A134" r:id="rId1"/>
    <hyperlink ref="A135" r:id="rId2"/>
    <hyperlink ref="A136" r:id="rId3"/>
    <hyperlink ref="A137" r:id="rId4"/>
    <hyperlink ref="A138" r:id="rId5"/>
  </hyperlinks>
  <pageMargins left="0.25" right="0.25" top="0.75" bottom="0.75" header="0.3" footer="0.3"/>
  <pageSetup paperSize="9" scale="61" fitToHeight="2"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176C3"/>
    <pageSetUpPr fitToPage="1"/>
  </sheetPr>
  <dimension ref="A1:XDA342"/>
  <sheetViews>
    <sheetView showGridLines="0" topLeftCell="A16" zoomScaleNormal="100" zoomScaleSheetLayoutView="100" workbookViewId="0">
      <selection activeCell="E60" sqref="E60"/>
    </sheetView>
  </sheetViews>
  <sheetFormatPr defaultColWidth="9.109375" defaultRowHeight="14.4" zeroHeight="1" x14ac:dyDescent="0.3"/>
  <cols>
    <col min="1" max="1" width="46.88671875" customWidth="1"/>
    <col min="2" max="2" width="23.5546875" customWidth="1"/>
    <col min="3" max="10" width="8" bestFit="1" customWidth="1"/>
    <col min="11" max="11" width="7.88671875" bestFit="1" customWidth="1"/>
    <col min="12" max="12" width="8.33203125" customWidth="1"/>
  </cols>
  <sheetData>
    <row r="1" spans="1:12 16327:16329" s="6" customFormat="1" x14ac:dyDescent="0.3">
      <c r="A1" s="399" t="s">
        <v>175</v>
      </c>
      <c r="B1" s="400" t="s">
        <v>17</v>
      </c>
      <c r="C1" s="392">
        <v>2010</v>
      </c>
      <c r="D1" s="392">
        <v>2011</v>
      </c>
      <c r="E1" s="392">
        <v>2012</v>
      </c>
      <c r="F1" s="392">
        <v>2013</v>
      </c>
      <c r="G1" s="392">
        <v>2014</v>
      </c>
      <c r="H1" s="392">
        <v>2015</v>
      </c>
      <c r="I1" s="392">
        <v>2016</v>
      </c>
      <c r="J1" s="392">
        <v>2017</v>
      </c>
      <c r="K1" s="392">
        <v>2018</v>
      </c>
      <c r="L1" s="403">
        <v>2019</v>
      </c>
      <c r="XCY1" s="1"/>
      <c r="XCZ1" s="1"/>
      <c r="XDA1" s="1"/>
    </row>
    <row r="2" spans="1:12 16327:16329" s="6" customFormat="1" x14ac:dyDescent="0.3">
      <c r="A2" s="399"/>
      <c r="B2" s="400"/>
      <c r="C2" s="392"/>
      <c r="D2" s="392"/>
      <c r="E2" s="392"/>
      <c r="F2" s="392"/>
      <c r="G2" s="392"/>
      <c r="H2" s="392"/>
      <c r="I2" s="392"/>
      <c r="J2" s="392"/>
      <c r="K2" s="392"/>
      <c r="L2" s="403"/>
      <c r="XCY2" s="1"/>
      <c r="XCZ2" s="1"/>
      <c r="XDA2" s="1"/>
    </row>
    <row r="3" spans="1:12 16327:16329" s="6" customFormat="1" ht="13.5" customHeight="1" x14ac:dyDescent="0.3">
      <c r="A3" s="399"/>
      <c r="B3" s="400"/>
      <c r="C3" s="392"/>
      <c r="D3" s="392"/>
      <c r="E3" s="392"/>
      <c r="F3" s="392"/>
      <c r="G3" s="392"/>
      <c r="H3" s="392"/>
      <c r="I3" s="392"/>
      <c r="J3" s="392"/>
      <c r="K3" s="392"/>
      <c r="L3" s="403"/>
      <c r="XCY3" s="1"/>
      <c r="XCZ3" s="1"/>
      <c r="XDA3" s="1"/>
    </row>
    <row r="4" spans="1:12 16327:16329" s="6" customFormat="1" ht="5.25" customHeight="1" x14ac:dyDescent="0.3">
      <c r="A4" s="190"/>
      <c r="B4" s="184"/>
      <c r="C4" s="79"/>
      <c r="D4" s="79"/>
      <c r="E4" s="79"/>
      <c r="F4" s="79"/>
      <c r="G4" s="79"/>
      <c r="H4" s="79"/>
      <c r="I4" s="79"/>
      <c r="J4" s="79"/>
      <c r="K4" s="79"/>
      <c r="L4" s="18"/>
      <c r="XCY4" s="1"/>
      <c r="XCZ4" s="1"/>
      <c r="XDA4" s="1"/>
    </row>
    <row r="5" spans="1:12 16327:16329" s="6" customFormat="1" x14ac:dyDescent="0.3">
      <c r="A5" s="191" t="s">
        <v>173</v>
      </c>
      <c r="B5" s="186"/>
      <c r="C5" s="27"/>
      <c r="D5" s="27"/>
      <c r="E5" s="27"/>
      <c r="F5" s="408"/>
      <c r="G5" s="408"/>
      <c r="H5" s="408"/>
      <c r="I5" s="408"/>
      <c r="J5" s="408"/>
      <c r="K5" s="408"/>
      <c r="L5" s="409"/>
      <c r="XCY5" s="1"/>
      <c r="XCZ5" s="1"/>
      <c r="XDA5" s="1"/>
    </row>
    <row r="6" spans="1:12 16327:16329" s="1" customFormat="1" ht="4.5" customHeight="1" x14ac:dyDescent="0.3">
      <c r="A6" s="192"/>
      <c r="B6" s="193"/>
      <c r="C6" s="2"/>
      <c r="D6" s="2"/>
      <c r="E6" s="2"/>
      <c r="F6" s="2"/>
      <c r="G6" s="2"/>
      <c r="H6" s="2"/>
      <c r="I6" s="2"/>
      <c r="J6" s="2"/>
      <c r="K6" s="2"/>
      <c r="L6" s="18"/>
    </row>
    <row r="7" spans="1:12 16327:16329" s="11" customFormat="1" ht="13.2" x14ac:dyDescent="0.25">
      <c r="A7" s="45" t="s">
        <v>126</v>
      </c>
      <c r="B7" s="48"/>
      <c r="C7" s="417"/>
      <c r="D7" s="418"/>
      <c r="E7" s="418"/>
      <c r="F7" s="418"/>
      <c r="G7" s="418"/>
      <c r="H7" s="418"/>
      <c r="I7" s="418"/>
      <c r="J7" s="418"/>
      <c r="K7" s="418"/>
      <c r="L7" s="419"/>
    </row>
    <row r="8" spans="1:12 16327:16329" s="4" customFormat="1" ht="13.2" x14ac:dyDescent="0.25">
      <c r="A8" s="28" t="s">
        <v>48</v>
      </c>
      <c r="B8" s="32" t="s">
        <v>20</v>
      </c>
      <c r="C8" s="43">
        <v>82724</v>
      </c>
      <c r="D8" s="42">
        <v>81075.959999999992</v>
      </c>
      <c r="E8" s="42">
        <v>84082</v>
      </c>
      <c r="F8" s="42">
        <v>84998</v>
      </c>
      <c r="G8" s="42">
        <v>81855</v>
      </c>
      <c r="H8" s="42">
        <v>83624</v>
      </c>
      <c r="I8" s="42">
        <v>82005.611428834702</v>
      </c>
      <c r="J8" s="42">
        <f t="shared" ref="J8:K8" si="0">J9+J15+J16+J17+J18+J19</f>
        <v>78950</v>
      </c>
      <c r="K8" s="42">
        <f t="shared" si="0"/>
        <v>75901</v>
      </c>
      <c r="L8" s="42">
        <f>L9+L15+L16+L17+L18+L19</f>
        <v>73715</v>
      </c>
    </row>
    <row r="9" spans="1:12 16327:16329" s="5" customFormat="1" ht="13.2" x14ac:dyDescent="0.25">
      <c r="A9" s="367" t="s">
        <v>49</v>
      </c>
      <c r="B9" s="358" t="s">
        <v>20</v>
      </c>
      <c r="C9" s="268">
        <v>80417</v>
      </c>
      <c r="D9" s="269">
        <v>78865.959999999992</v>
      </c>
      <c r="E9" s="269">
        <v>81973</v>
      </c>
      <c r="F9" s="269">
        <v>83005</v>
      </c>
      <c r="G9" s="269">
        <v>79897</v>
      </c>
      <c r="H9" s="269">
        <v>81637</v>
      </c>
      <c r="I9" s="269">
        <v>81080.611428834702</v>
      </c>
      <c r="J9" s="269">
        <f>J11+J12+J13+J14+J10</f>
        <v>77991</v>
      </c>
      <c r="K9" s="269">
        <f>K10+K11+K12+K13+K14</f>
        <v>74926</v>
      </c>
      <c r="L9" s="269">
        <f>L10+L11+L12+L13+L14</f>
        <v>72782</v>
      </c>
    </row>
    <row r="10" spans="1:12 16327:16329" s="98" customFormat="1" ht="13.2" x14ac:dyDescent="0.25">
      <c r="A10" s="368" t="s">
        <v>181</v>
      </c>
      <c r="B10" s="369" t="s">
        <v>20</v>
      </c>
      <c r="C10" s="272">
        <v>53075.22</v>
      </c>
      <c r="D10" s="273">
        <v>55442.997999999992</v>
      </c>
      <c r="E10" s="273">
        <v>57627.018999999993</v>
      </c>
      <c r="F10" s="273">
        <v>58602</v>
      </c>
      <c r="G10" s="273">
        <v>56566</v>
      </c>
      <c r="H10" s="273">
        <v>57641</v>
      </c>
      <c r="I10" s="273">
        <v>57039.708783286995</v>
      </c>
      <c r="J10" s="272">
        <v>54075</v>
      </c>
      <c r="K10" s="272">
        <v>50759</v>
      </c>
      <c r="L10" s="268">
        <v>48631</v>
      </c>
    </row>
    <row r="11" spans="1:12 16327:16329" s="98" customFormat="1" ht="13.2" x14ac:dyDescent="0.25">
      <c r="A11" s="368" t="s">
        <v>127</v>
      </c>
      <c r="B11" s="320" t="s">
        <v>20</v>
      </c>
      <c r="C11" s="272">
        <f>80417*6%</f>
        <v>4825.0199999999995</v>
      </c>
      <c r="D11" s="273">
        <f>78866*6.3%+0.4</f>
        <v>4968.9579999999996</v>
      </c>
      <c r="E11" s="273">
        <v>4918.38</v>
      </c>
      <c r="F11" s="273">
        <v>4482</v>
      </c>
      <c r="G11" s="273">
        <v>4205</v>
      </c>
      <c r="H11" s="273">
        <v>4121</v>
      </c>
      <c r="I11" s="273">
        <v>3903.6349999999998</v>
      </c>
      <c r="J11" s="272">
        <v>3835</v>
      </c>
      <c r="K11" s="273">
        <v>3527</v>
      </c>
      <c r="L11" s="268">
        <v>3417</v>
      </c>
    </row>
    <row r="12" spans="1:12 16327:16329" s="20" customFormat="1" ht="13.2" x14ac:dyDescent="0.25">
      <c r="A12" s="368" t="s">
        <v>96</v>
      </c>
      <c r="B12" s="320" t="s">
        <v>20</v>
      </c>
      <c r="C12" s="272">
        <f>80417*17%</f>
        <v>13670.890000000001</v>
      </c>
      <c r="D12" s="273">
        <v>14985</v>
      </c>
      <c r="E12" s="273">
        <v>15165.004999999999</v>
      </c>
      <c r="F12" s="273">
        <v>15024</v>
      </c>
      <c r="G12" s="273">
        <v>13921</v>
      </c>
      <c r="H12" s="273">
        <v>14403</v>
      </c>
      <c r="I12" s="273">
        <f>[3]ГОД!$O$139</f>
        <v>12972.967688172042</v>
      </c>
      <c r="J12" s="273">
        <v>13036</v>
      </c>
      <c r="K12" s="273">
        <v>12579</v>
      </c>
      <c r="L12" s="268">
        <v>12287</v>
      </c>
    </row>
    <row r="13" spans="1:12 16327:16329" s="20" customFormat="1" ht="13.2" x14ac:dyDescent="0.25">
      <c r="A13" s="368" t="s">
        <v>157</v>
      </c>
      <c r="B13" s="320" t="s">
        <v>20</v>
      </c>
      <c r="C13" s="231">
        <v>501</v>
      </c>
      <c r="D13" s="231">
        <v>656</v>
      </c>
      <c r="E13" s="231">
        <v>1172</v>
      </c>
      <c r="F13" s="231">
        <v>1405</v>
      </c>
      <c r="G13" s="231">
        <v>1587.79</v>
      </c>
      <c r="H13" s="231">
        <v>1796.46</v>
      </c>
      <c r="I13" s="231">
        <v>2118.0321666666669</v>
      </c>
      <c r="J13" s="273">
        <v>2781</v>
      </c>
      <c r="K13" s="273">
        <v>3382</v>
      </c>
      <c r="L13" s="268">
        <v>3340</v>
      </c>
    </row>
    <row r="14" spans="1:12 16327:16329" s="20" customFormat="1" ht="13.2" x14ac:dyDescent="0.25">
      <c r="A14" s="368" t="s">
        <v>97</v>
      </c>
      <c r="B14" s="320" t="s">
        <v>20</v>
      </c>
      <c r="C14" s="272">
        <f>80417*11%</f>
        <v>8845.8700000000008</v>
      </c>
      <c r="D14" s="273">
        <f>78866*4.4%-0.1-1</f>
        <v>3469.0040000000004</v>
      </c>
      <c r="E14" s="273">
        <v>4262.5960000000005</v>
      </c>
      <c r="F14" s="273">
        <v>4897</v>
      </c>
      <c r="G14" s="273">
        <v>5205</v>
      </c>
      <c r="H14" s="273">
        <v>5472</v>
      </c>
      <c r="I14" s="273">
        <f>[3]ГОД!$O$141-[3]ГОД!$O$39-[3]ГОД!$O$44</f>
        <v>7164.2999573756724</v>
      </c>
      <c r="J14" s="273">
        <v>4264</v>
      </c>
      <c r="K14" s="273">
        <v>4679</v>
      </c>
      <c r="L14" s="268">
        <v>5107</v>
      </c>
    </row>
    <row r="15" spans="1:12 16327:16329" s="5" customFormat="1" ht="13.2" x14ac:dyDescent="0.25">
      <c r="A15" s="370" t="s">
        <v>91</v>
      </c>
      <c r="B15" s="358" t="s">
        <v>20</v>
      </c>
      <c r="C15" s="268">
        <v>315</v>
      </c>
      <c r="D15" s="269">
        <v>303</v>
      </c>
      <c r="E15" s="268">
        <v>315</v>
      </c>
      <c r="F15" s="269">
        <v>297</v>
      </c>
      <c r="G15" s="269">
        <v>290</v>
      </c>
      <c r="H15" s="269">
        <v>307</v>
      </c>
      <c r="I15" s="269">
        <v>311</v>
      </c>
      <c r="J15" s="269">
        <v>326</v>
      </c>
      <c r="K15" s="269">
        <v>330</v>
      </c>
      <c r="L15" s="268">
        <v>326</v>
      </c>
    </row>
    <row r="16" spans="1:12 16327:16329" s="5" customFormat="1" ht="13.2" x14ac:dyDescent="0.25">
      <c r="A16" s="370" t="s">
        <v>92</v>
      </c>
      <c r="B16" s="358" t="s">
        <v>20</v>
      </c>
      <c r="C16" s="268">
        <v>1942</v>
      </c>
      <c r="D16" s="269">
        <v>1797</v>
      </c>
      <c r="E16" s="268">
        <v>1660</v>
      </c>
      <c r="F16" s="269">
        <v>1598</v>
      </c>
      <c r="G16" s="269">
        <v>1631</v>
      </c>
      <c r="H16" s="269">
        <v>1650</v>
      </c>
      <c r="I16" s="269">
        <v>586</v>
      </c>
      <c r="J16" s="269">
        <v>605</v>
      </c>
      <c r="K16" s="269">
        <v>617</v>
      </c>
      <c r="L16" s="269">
        <v>577</v>
      </c>
    </row>
    <row r="17" spans="1:12" s="5" customFormat="1" ht="13.2" x14ac:dyDescent="0.25">
      <c r="A17" s="81" t="s">
        <v>93</v>
      </c>
      <c r="B17" s="69" t="s">
        <v>20</v>
      </c>
      <c r="C17" s="43">
        <v>9</v>
      </c>
      <c r="D17" s="42">
        <v>9</v>
      </c>
      <c r="E17" s="42">
        <v>9</v>
      </c>
      <c r="F17" s="42">
        <v>10</v>
      </c>
      <c r="G17" s="42">
        <v>10</v>
      </c>
      <c r="H17" s="42">
        <v>10</v>
      </c>
      <c r="I17" s="42">
        <v>10</v>
      </c>
      <c r="J17" s="42">
        <v>10</v>
      </c>
      <c r="K17" s="42">
        <v>10</v>
      </c>
      <c r="L17" s="42">
        <v>9</v>
      </c>
    </row>
    <row r="18" spans="1:12" s="5" customFormat="1" ht="13.2" x14ac:dyDescent="0.25">
      <c r="A18" s="81" t="s">
        <v>94</v>
      </c>
      <c r="B18" s="69" t="s">
        <v>20</v>
      </c>
      <c r="C18" s="43">
        <v>24</v>
      </c>
      <c r="D18" s="42">
        <v>84</v>
      </c>
      <c r="E18" s="42">
        <v>106</v>
      </c>
      <c r="F18" s="42">
        <v>73</v>
      </c>
      <c r="G18" s="42">
        <v>15</v>
      </c>
      <c r="H18" s="42">
        <v>6</v>
      </c>
      <c r="I18" s="42">
        <v>5</v>
      </c>
      <c r="J18" s="42">
        <v>5</v>
      </c>
      <c r="K18" s="42">
        <v>5</v>
      </c>
      <c r="L18" s="42">
        <v>5</v>
      </c>
    </row>
    <row r="19" spans="1:12" s="5" customFormat="1" ht="13.2" x14ac:dyDescent="0.25">
      <c r="A19" s="28" t="s">
        <v>95</v>
      </c>
      <c r="B19" s="69" t="s">
        <v>20</v>
      </c>
      <c r="C19" s="43">
        <v>17</v>
      </c>
      <c r="D19" s="42">
        <v>17</v>
      </c>
      <c r="E19" s="42">
        <v>19</v>
      </c>
      <c r="F19" s="42">
        <v>15</v>
      </c>
      <c r="G19" s="42">
        <v>12</v>
      </c>
      <c r="H19" s="42">
        <f>12+2</f>
        <v>14</v>
      </c>
      <c r="I19" s="43">
        <v>13</v>
      </c>
      <c r="J19" s="43">
        <v>13</v>
      </c>
      <c r="K19" s="43">
        <v>13</v>
      </c>
      <c r="L19" s="43">
        <v>16</v>
      </c>
    </row>
    <row r="20" spans="1:12" s="5" customFormat="1" ht="13.2" x14ac:dyDescent="0.25">
      <c r="A20" s="45" t="s">
        <v>205</v>
      </c>
      <c r="B20" s="48"/>
      <c r="C20" s="417"/>
      <c r="D20" s="418"/>
      <c r="E20" s="418"/>
      <c r="F20" s="418"/>
      <c r="G20" s="418"/>
      <c r="H20" s="418"/>
      <c r="I20" s="418"/>
      <c r="J20" s="418"/>
      <c r="K20" s="418"/>
      <c r="L20" s="419"/>
    </row>
    <row r="21" spans="1:12" s="4" customFormat="1" ht="13.2" x14ac:dyDescent="0.25">
      <c r="A21" s="81" t="s">
        <v>48</v>
      </c>
      <c r="B21" s="32" t="s">
        <v>20</v>
      </c>
      <c r="C21" s="52" t="s">
        <v>118</v>
      </c>
      <c r="D21" s="52" t="s">
        <v>118</v>
      </c>
      <c r="E21" s="52" t="s">
        <v>118</v>
      </c>
      <c r="F21" s="52" t="s">
        <v>118</v>
      </c>
      <c r="G21" s="52" t="s">
        <v>118</v>
      </c>
      <c r="H21" s="52" t="s">
        <v>118</v>
      </c>
      <c r="I21" s="52" t="s">
        <v>118</v>
      </c>
      <c r="J21" s="52" t="s">
        <v>118</v>
      </c>
      <c r="K21" s="42">
        <f>K22+K23+K24+K25+K26+K27</f>
        <v>75900.518785508713</v>
      </c>
      <c r="L21" s="42">
        <f>L22+L23+L24+L25+L26+L27</f>
        <v>73715.001561796249</v>
      </c>
    </row>
    <row r="22" spans="1:12" s="98" customFormat="1" ht="13.2" x14ac:dyDescent="0.25">
      <c r="A22" s="385" t="s">
        <v>200</v>
      </c>
      <c r="B22" s="70" t="s">
        <v>20</v>
      </c>
      <c r="C22" s="386" t="s">
        <v>118</v>
      </c>
      <c r="D22" s="386" t="s">
        <v>118</v>
      </c>
      <c r="E22" s="386" t="s">
        <v>118</v>
      </c>
      <c r="F22" s="386" t="s">
        <v>118</v>
      </c>
      <c r="G22" s="386" t="s">
        <v>118</v>
      </c>
      <c r="H22" s="386" t="s">
        <v>118</v>
      </c>
      <c r="I22" s="386" t="s">
        <v>118</v>
      </c>
      <c r="J22" s="386" t="s">
        <v>118</v>
      </c>
      <c r="K22" s="387">
        <v>32529</v>
      </c>
      <c r="L22" s="387">
        <v>29794.983180325024</v>
      </c>
    </row>
    <row r="23" spans="1:12" s="98" customFormat="1" ht="13.2" x14ac:dyDescent="0.25">
      <c r="A23" s="385" t="s">
        <v>201</v>
      </c>
      <c r="B23" s="70" t="s">
        <v>20</v>
      </c>
      <c r="C23" s="386" t="s">
        <v>118</v>
      </c>
      <c r="D23" s="386" t="s">
        <v>118</v>
      </c>
      <c r="E23" s="386" t="s">
        <v>118</v>
      </c>
      <c r="F23" s="386" t="s">
        <v>118</v>
      </c>
      <c r="G23" s="386" t="s">
        <v>118</v>
      </c>
      <c r="H23" s="386" t="s">
        <v>118</v>
      </c>
      <c r="I23" s="386" t="s">
        <v>118</v>
      </c>
      <c r="J23" s="386" t="s">
        <v>118</v>
      </c>
      <c r="K23" s="388">
        <v>17787.095519083319</v>
      </c>
      <c r="L23" s="388">
        <v>18202.638791583271</v>
      </c>
    </row>
    <row r="24" spans="1:12" s="98" customFormat="1" ht="13.2" x14ac:dyDescent="0.25">
      <c r="A24" s="385" t="s">
        <v>202</v>
      </c>
      <c r="B24" s="70" t="s">
        <v>20</v>
      </c>
      <c r="C24" s="386" t="s">
        <v>118</v>
      </c>
      <c r="D24" s="386" t="s">
        <v>118</v>
      </c>
      <c r="E24" s="386" t="s">
        <v>118</v>
      </c>
      <c r="F24" s="386" t="s">
        <v>118</v>
      </c>
      <c r="G24" s="386" t="s">
        <v>118</v>
      </c>
      <c r="H24" s="386" t="s">
        <v>118</v>
      </c>
      <c r="I24" s="386" t="s">
        <v>118</v>
      </c>
      <c r="J24" s="386" t="s">
        <v>118</v>
      </c>
      <c r="K24" s="387">
        <v>12434.4</v>
      </c>
      <c r="L24" s="387">
        <v>12608.788790483886</v>
      </c>
    </row>
    <row r="25" spans="1:12" s="98" customFormat="1" ht="13.2" x14ac:dyDescent="0.25">
      <c r="A25" s="385" t="s">
        <v>206</v>
      </c>
      <c r="B25" s="369" t="s">
        <v>20</v>
      </c>
      <c r="C25" s="290" t="s">
        <v>118</v>
      </c>
      <c r="D25" s="290" t="s">
        <v>118</v>
      </c>
      <c r="E25" s="290" t="s">
        <v>118</v>
      </c>
      <c r="F25" s="290" t="s">
        <v>118</v>
      </c>
      <c r="G25" s="290" t="s">
        <v>118</v>
      </c>
      <c r="H25" s="290" t="s">
        <v>118</v>
      </c>
      <c r="I25" s="290" t="s">
        <v>118</v>
      </c>
      <c r="J25" s="290" t="s">
        <v>118</v>
      </c>
      <c r="K25" s="273">
        <v>6168.5408333333035</v>
      </c>
      <c r="L25" s="273">
        <v>5705.0689089166517</v>
      </c>
    </row>
    <row r="26" spans="1:12" s="98" customFormat="1" ht="13.2" x14ac:dyDescent="0.25">
      <c r="A26" s="385" t="s">
        <v>203</v>
      </c>
      <c r="B26" s="369" t="s">
        <v>20</v>
      </c>
      <c r="C26" s="290" t="s">
        <v>118</v>
      </c>
      <c r="D26" s="290" t="s">
        <v>118</v>
      </c>
      <c r="E26" s="290" t="s">
        <v>118</v>
      </c>
      <c r="F26" s="290" t="s">
        <v>118</v>
      </c>
      <c r="G26" s="290" t="s">
        <v>118</v>
      </c>
      <c r="H26" s="290" t="s">
        <v>118</v>
      </c>
      <c r="I26" s="290" t="s">
        <v>118</v>
      </c>
      <c r="J26" s="290" t="s">
        <v>118</v>
      </c>
      <c r="K26" s="273">
        <v>878.79333333333329</v>
      </c>
      <c r="L26" s="273">
        <v>860.62999999999988</v>
      </c>
    </row>
    <row r="27" spans="1:12" s="98" customFormat="1" ht="13.2" x14ac:dyDescent="0.25">
      <c r="A27" s="385" t="s">
        <v>204</v>
      </c>
      <c r="B27" s="369" t="s">
        <v>20</v>
      </c>
      <c r="C27" s="290" t="s">
        <v>118</v>
      </c>
      <c r="D27" s="290" t="s">
        <v>118</v>
      </c>
      <c r="E27" s="290" t="s">
        <v>118</v>
      </c>
      <c r="F27" s="290" t="s">
        <v>118</v>
      </c>
      <c r="G27" s="290" t="s">
        <v>118</v>
      </c>
      <c r="H27" s="290" t="s">
        <v>118</v>
      </c>
      <c r="I27" s="290" t="s">
        <v>118</v>
      </c>
      <c r="J27" s="290" t="s">
        <v>118</v>
      </c>
      <c r="K27" s="273">
        <v>6102.6890997587598</v>
      </c>
      <c r="L27" s="273">
        <v>6542.8918904874163</v>
      </c>
    </row>
    <row r="28" spans="1:12" s="4" customFormat="1" ht="13.2" x14ac:dyDescent="0.25">
      <c r="A28" s="45" t="s">
        <v>110</v>
      </c>
      <c r="B28" s="349"/>
      <c r="C28" s="347"/>
      <c r="D28" s="346"/>
      <c r="E28" s="394"/>
      <c r="F28" s="394"/>
      <c r="G28" s="394"/>
      <c r="H28" s="394"/>
      <c r="I28" s="394"/>
      <c r="J28" s="394"/>
      <c r="K28" s="394"/>
      <c r="L28" s="395"/>
    </row>
    <row r="29" spans="1:12" s="4" customFormat="1" ht="13.2" x14ac:dyDescent="0.25">
      <c r="A29" s="29" t="s">
        <v>47</v>
      </c>
      <c r="B29" s="317" t="s">
        <v>0</v>
      </c>
      <c r="C29" s="359">
        <v>0.7</v>
      </c>
      <c r="D29" s="360">
        <v>0.69</v>
      </c>
      <c r="E29" s="360">
        <v>0.69</v>
      </c>
      <c r="F29" s="360">
        <v>0.7</v>
      </c>
      <c r="G29" s="360">
        <v>0.7</v>
      </c>
      <c r="H29" s="360">
        <v>0.7</v>
      </c>
      <c r="I29" s="361">
        <v>0.70799999999999996</v>
      </c>
      <c r="J29" s="360">
        <v>0.71</v>
      </c>
      <c r="K29" s="361">
        <v>0.71</v>
      </c>
      <c r="L29" s="362">
        <v>0.70872999519197744</v>
      </c>
    </row>
    <row r="30" spans="1:12" s="4" customFormat="1" ht="13.2" x14ac:dyDescent="0.25">
      <c r="A30" s="29" t="s">
        <v>46</v>
      </c>
      <c r="B30" s="317" t="s">
        <v>0</v>
      </c>
      <c r="C30" s="361">
        <v>0.3</v>
      </c>
      <c r="D30" s="360">
        <v>0.31</v>
      </c>
      <c r="E30" s="360">
        <v>0.31</v>
      </c>
      <c r="F30" s="360">
        <v>0.3</v>
      </c>
      <c r="G30" s="360">
        <v>0.3</v>
      </c>
      <c r="H30" s="360">
        <v>0.3</v>
      </c>
      <c r="I30" s="361">
        <v>0.29199999999999998</v>
      </c>
      <c r="J30" s="361">
        <v>0.28999999999999998</v>
      </c>
      <c r="K30" s="361">
        <v>0.28999999999999998</v>
      </c>
      <c r="L30" s="362">
        <v>0.29127000480802251</v>
      </c>
    </row>
    <row r="31" spans="1:12" s="4" customFormat="1" ht="13.2" x14ac:dyDescent="0.25">
      <c r="A31" s="45" t="s">
        <v>98</v>
      </c>
      <c r="B31" s="349"/>
      <c r="C31" s="393"/>
      <c r="D31" s="394"/>
      <c r="E31" s="394"/>
      <c r="F31" s="394"/>
      <c r="G31" s="394"/>
      <c r="H31" s="394"/>
      <c r="I31" s="394"/>
      <c r="J31" s="394"/>
      <c r="K31" s="394"/>
      <c r="L31" s="395"/>
    </row>
    <row r="32" spans="1:12" s="4" customFormat="1" x14ac:dyDescent="0.25">
      <c r="A32" s="57" t="s">
        <v>244</v>
      </c>
      <c r="B32" s="317" t="s">
        <v>0</v>
      </c>
      <c r="C32" s="361">
        <v>8.6999999999999994E-2</v>
      </c>
      <c r="D32" s="361">
        <v>9.0999999999999998E-2</v>
      </c>
      <c r="E32" s="361">
        <v>0.11799999999999999</v>
      </c>
      <c r="F32" s="360">
        <v>0.121</v>
      </c>
      <c r="G32" s="360">
        <v>0.113</v>
      </c>
      <c r="H32" s="360">
        <v>0.107</v>
      </c>
      <c r="I32" s="361">
        <v>0.105</v>
      </c>
      <c r="J32" s="361">
        <f>[4]DLA0004!$E$20/100</f>
        <v>0.10325587815027081</v>
      </c>
      <c r="K32" s="362">
        <v>0.10195426873908016</v>
      </c>
      <c r="L32" s="362">
        <v>0.10529383339664047</v>
      </c>
    </row>
    <row r="33" spans="1:12" s="4" customFormat="1" ht="13.2" x14ac:dyDescent="0.25">
      <c r="A33" s="45" t="s">
        <v>128</v>
      </c>
      <c r="B33" s="349"/>
      <c r="C33" s="346"/>
      <c r="D33" s="394"/>
      <c r="E33" s="394"/>
      <c r="F33" s="394"/>
      <c r="G33" s="394"/>
      <c r="H33" s="394"/>
      <c r="I33" s="394"/>
      <c r="J33" s="394"/>
      <c r="K33" s="394"/>
      <c r="L33" s="395"/>
    </row>
    <row r="34" spans="1:12" s="11" customFormat="1" ht="13.2" x14ac:dyDescent="0.25">
      <c r="A34" s="57" t="s">
        <v>100</v>
      </c>
      <c r="B34" s="84" t="s">
        <v>116</v>
      </c>
      <c r="C34" s="363">
        <v>55.9</v>
      </c>
      <c r="D34" s="364">
        <v>63</v>
      </c>
      <c r="E34" s="364">
        <v>68.5</v>
      </c>
      <c r="F34" s="364">
        <v>75.3</v>
      </c>
      <c r="G34" s="364">
        <v>75.400000000000006</v>
      </c>
      <c r="H34" s="364">
        <v>84.9</v>
      </c>
      <c r="I34" s="363">
        <v>94.2</v>
      </c>
      <c r="J34" s="363">
        <v>104.1</v>
      </c>
      <c r="K34" s="363">
        <v>111.6</v>
      </c>
      <c r="L34" s="363">
        <v>118.81883761525319</v>
      </c>
    </row>
    <row r="35" spans="1:12" s="11" customFormat="1" x14ac:dyDescent="0.25">
      <c r="A35" s="57" t="s">
        <v>245</v>
      </c>
      <c r="B35" s="84" t="s">
        <v>117</v>
      </c>
      <c r="C35" s="365">
        <f>C34/30.37</f>
        <v>1.8406322028317417</v>
      </c>
      <c r="D35" s="366">
        <f>D34/29.39</f>
        <v>2.1435862538278325</v>
      </c>
      <c r="E35" s="366">
        <f>E34/31.093</f>
        <v>2.2030682147107066</v>
      </c>
      <c r="F35" s="366">
        <f>F34/31.85</f>
        <v>2.3642072213500782</v>
      </c>
      <c r="G35" s="366">
        <f>G34/38.42</f>
        <v>1.9625195210827695</v>
      </c>
      <c r="H35" s="366">
        <f>H34/60.96</f>
        <v>1.3927165354330708</v>
      </c>
      <c r="I35" s="365">
        <f>I34/67.03</f>
        <v>1.4053408921378487</v>
      </c>
      <c r="J35" s="365">
        <f>J34/J66</f>
        <v>1.783973033045487</v>
      </c>
      <c r="K35" s="365">
        <f>K34/K66</f>
        <v>1.7796829102599676</v>
      </c>
      <c r="L35" s="365">
        <f>L34/L66</f>
        <v>1.8354311438615982</v>
      </c>
    </row>
    <row r="36" spans="1:12" s="4" customFormat="1" ht="13.2" x14ac:dyDescent="0.25">
      <c r="A36" s="45" t="s">
        <v>101</v>
      </c>
      <c r="B36" s="349"/>
      <c r="C36" s="393"/>
      <c r="D36" s="394"/>
      <c r="E36" s="394"/>
      <c r="F36" s="394"/>
      <c r="G36" s="394"/>
      <c r="H36" s="394"/>
      <c r="I36" s="394"/>
      <c r="J36" s="394"/>
      <c r="K36" s="394"/>
      <c r="L36" s="395"/>
    </row>
    <row r="37" spans="1:12" s="4" customFormat="1" ht="13.2" x14ac:dyDescent="0.25">
      <c r="A37" s="353" t="s">
        <v>193</v>
      </c>
      <c r="B37" s="317" t="s">
        <v>0</v>
      </c>
      <c r="C37" s="354" t="s">
        <v>118</v>
      </c>
      <c r="D37" s="354" t="s">
        <v>118</v>
      </c>
      <c r="E37" s="304">
        <v>0.92</v>
      </c>
      <c r="F37" s="304">
        <v>0.93</v>
      </c>
      <c r="G37" s="304">
        <v>0.94</v>
      </c>
      <c r="H37" s="304">
        <v>0.92</v>
      </c>
      <c r="I37" s="304">
        <v>0.92</v>
      </c>
      <c r="J37" s="305">
        <v>0.8</v>
      </c>
      <c r="K37" s="304">
        <v>0.81</v>
      </c>
      <c r="L37" s="304">
        <v>0.83</v>
      </c>
    </row>
    <row r="38" spans="1:12" s="4" customFormat="1" ht="13.2" x14ac:dyDescent="0.25">
      <c r="A38" s="353" t="s">
        <v>129</v>
      </c>
      <c r="B38" s="317" t="s">
        <v>0</v>
      </c>
      <c r="C38" s="354" t="s">
        <v>118</v>
      </c>
      <c r="D38" s="354" t="s">
        <v>118</v>
      </c>
      <c r="E38" s="304">
        <v>0.115</v>
      </c>
      <c r="F38" s="304">
        <v>0.115</v>
      </c>
      <c r="G38" s="304">
        <v>0.115</v>
      </c>
      <c r="H38" s="304">
        <v>0.12</v>
      </c>
      <c r="I38" s="304">
        <v>0.115</v>
      </c>
      <c r="J38" s="305">
        <v>0.107</v>
      </c>
      <c r="K38" s="304">
        <v>0.108</v>
      </c>
      <c r="L38" s="304">
        <v>9.5000000000000001E-2</v>
      </c>
    </row>
    <row r="39" spans="1:12" s="4" customFormat="1" ht="13.2" x14ac:dyDescent="0.25">
      <c r="A39" s="353" t="s">
        <v>130</v>
      </c>
      <c r="B39" s="317" t="s">
        <v>0</v>
      </c>
      <c r="C39" s="354" t="s">
        <v>118</v>
      </c>
      <c r="D39" s="354" t="s">
        <v>118</v>
      </c>
      <c r="E39" s="304">
        <v>0.84</v>
      </c>
      <c r="F39" s="355">
        <v>0.84</v>
      </c>
      <c r="G39" s="356">
        <v>0.84</v>
      </c>
      <c r="H39" s="356">
        <v>0.81</v>
      </c>
      <c r="I39" s="356">
        <v>0.86</v>
      </c>
      <c r="J39" s="357">
        <v>0.82</v>
      </c>
      <c r="K39" s="356">
        <v>0.78</v>
      </c>
      <c r="L39" s="304">
        <v>0.79</v>
      </c>
    </row>
    <row r="40" spans="1:12" s="4" customFormat="1" ht="13.2" x14ac:dyDescent="0.25">
      <c r="A40" s="45" t="s">
        <v>99</v>
      </c>
      <c r="B40" s="48"/>
      <c r="C40" s="417"/>
      <c r="D40" s="418"/>
      <c r="E40" s="418"/>
      <c r="F40" s="418"/>
      <c r="G40" s="418"/>
      <c r="H40" s="418"/>
      <c r="I40" s="418"/>
      <c r="J40" s="418"/>
      <c r="K40" s="418"/>
      <c r="L40" s="419"/>
    </row>
    <row r="41" spans="1:12" s="4" customFormat="1" ht="13.2" x14ac:dyDescent="0.25">
      <c r="A41" s="29" t="s">
        <v>131</v>
      </c>
      <c r="B41" s="97" t="s">
        <v>21</v>
      </c>
      <c r="C41" s="13">
        <v>31.9</v>
      </c>
      <c r="D41" s="10">
        <v>42</v>
      </c>
      <c r="E41" s="10">
        <v>48.7</v>
      </c>
      <c r="F41" s="10">
        <v>47.9</v>
      </c>
      <c r="G41" s="10">
        <v>54.1</v>
      </c>
      <c r="H41" s="10">
        <v>63.1</v>
      </c>
      <c r="I41" s="13">
        <v>70</v>
      </c>
      <c r="J41" s="149">
        <v>95</v>
      </c>
      <c r="K41" s="208">
        <v>87.462000000000003</v>
      </c>
      <c r="L41" s="208">
        <v>91</v>
      </c>
    </row>
    <row r="42" spans="1:12" s="4" customFormat="1" x14ac:dyDescent="0.25">
      <c r="A42" s="29" t="s">
        <v>246</v>
      </c>
      <c r="B42" s="84" t="s">
        <v>13</v>
      </c>
      <c r="C42" s="12">
        <v>9.6674349687191317</v>
      </c>
      <c r="D42" s="10">
        <v>12.929567880231371</v>
      </c>
      <c r="E42" s="13">
        <v>19.319460971922943</v>
      </c>
      <c r="F42" s="86">
        <v>19.117739403453687</v>
      </c>
      <c r="G42" s="86">
        <v>17.21759500260281</v>
      </c>
      <c r="H42" s="10">
        <v>10.976049868766404</v>
      </c>
      <c r="I42" s="13">
        <v>11.338206773086677</v>
      </c>
      <c r="J42" s="13">
        <v>15.349845508963565</v>
      </c>
      <c r="K42" s="41">
        <f>1022.21/K66</f>
        <v>16.301161896925105</v>
      </c>
      <c r="L42" s="13">
        <v>17.019291847518215</v>
      </c>
    </row>
    <row r="43" spans="1:12" s="4" customFormat="1" ht="13.2" x14ac:dyDescent="0.25">
      <c r="A43" s="45" t="s">
        <v>242</v>
      </c>
      <c r="B43" s="48"/>
      <c r="C43" s="34"/>
      <c r="D43" s="418"/>
      <c r="E43" s="418"/>
      <c r="F43" s="418"/>
      <c r="G43" s="418"/>
      <c r="H43" s="418"/>
      <c r="I43" s="418"/>
      <c r="J43" s="418"/>
      <c r="K43" s="418"/>
      <c r="L43" s="419"/>
    </row>
    <row r="44" spans="1:12" s="4" customFormat="1" x14ac:dyDescent="0.25">
      <c r="A44" s="29" t="s">
        <v>243</v>
      </c>
      <c r="B44" s="84" t="s">
        <v>13</v>
      </c>
      <c r="C44" s="372">
        <f>C45+C46+C47+C48</f>
        <v>272.7342772472835</v>
      </c>
      <c r="D44" s="372">
        <f>D45+D46+D47+D48</f>
        <v>203.90472949982987</v>
      </c>
      <c r="E44" s="372">
        <f>E45+E46+E47+E48</f>
        <v>266.01170794467674</v>
      </c>
      <c r="F44" s="372">
        <f>F45+F46+F47+F48</f>
        <v>250.73783359497645</v>
      </c>
      <c r="G44" s="372">
        <v>197</v>
      </c>
      <c r="H44" s="372">
        <f>H45+H46+H47+H48</f>
        <v>140.97900262467192</v>
      </c>
      <c r="I44" s="372">
        <f>I45+I46+I47+I48</f>
        <v>168.11189019841862</v>
      </c>
      <c r="J44" s="372">
        <f>J45+J46+J47+J48</f>
        <v>246.665155287912</v>
      </c>
      <c r="K44" s="372">
        <f>K45+K46+K47+K48</f>
        <v>250.37244011111855</v>
      </c>
      <c r="L44" s="372">
        <f>L45+L46+L47+L48</f>
        <v>147.95801325890778</v>
      </c>
    </row>
    <row r="45" spans="1:12" s="4" customFormat="1" x14ac:dyDescent="0.25">
      <c r="A45" s="29" t="s">
        <v>247</v>
      </c>
      <c r="B45" s="84" t="s">
        <v>13</v>
      </c>
      <c r="C45" s="371">
        <v>49.390846229832071</v>
      </c>
      <c r="D45" s="371">
        <v>51.990472949982987</v>
      </c>
      <c r="E45" s="371">
        <v>48.279189449983917</v>
      </c>
      <c r="F45" s="371">
        <v>46.091051805337514</v>
      </c>
      <c r="G45" s="371">
        <v>41.827173347214988</v>
      </c>
      <c r="H45" s="371">
        <v>27</v>
      </c>
      <c r="I45" s="371">
        <v>30</v>
      </c>
      <c r="J45" s="371">
        <v>33.299999999999997</v>
      </c>
      <c r="K45" s="371">
        <v>31.047619275433039</v>
      </c>
      <c r="L45" s="371">
        <v>29.464964911409698</v>
      </c>
    </row>
    <row r="46" spans="1:12" s="4" customFormat="1" ht="13.2" x14ac:dyDescent="0.25">
      <c r="A46" s="57" t="s">
        <v>42</v>
      </c>
      <c r="B46" s="84" t="s">
        <v>13</v>
      </c>
      <c r="C46" s="371">
        <v>29.634507737899241</v>
      </c>
      <c r="D46" s="371">
        <v>35.420210956107518</v>
      </c>
      <c r="E46" s="371">
        <v>37.806497266001927</v>
      </c>
      <c r="F46" s="371">
        <v>35.416012558869703</v>
      </c>
      <c r="G46" s="371">
        <v>22.248646538261323</v>
      </c>
      <c r="H46" s="371">
        <v>14.927821522309712</v>
      </c>
      <c r="I46" s="371">
        <v>15.575115619871699</v>
      </c>
      <c r="J46" s="371">
        <v>17.065155287911999</v>
      </c>
      <c r="K46" s="371">
        <v>15.324820835685514</v>
      </c>
      <c r="L46" s="371">
        <v>14.722313504859832</v>
      </c>
    </row>
    <row r="47" spans="1:12" s="4" customFormat="1" ht="13.2" x14ac:dyDescent="0.25">
      <c r="A47" s="29" t="s">
        <v>43</v>
      </c>
      <c r="B47" s="84" t="s">
        <v>13</v>
      </c>
      <c r="C47" s="371">
        <v>131.70892327955218</v>
      </c>
      <c r="D47" s="371">
        <v>32.494045593739365</v>
      </c>
      <c r="E47" s="371">
        <v>69.9260212286909</v>
      </c>
      <c r="F47" s="371">
        <v>49.230769230769226</v>
      </c>
      <c r="G47" s="371">
        <v>39.04216553878188</v>
      </c>
      <c r="H47" s="371">
        <v>28.051181102362204</v>
      </c>
      <c r="I47" s="371">
        <v>34.536774578546918</v>
      </c>
      <c r="J47" s="372">
        <v>94.3</v>
      </c>
      <c r="K47" s="372">
        <v>100</v>
      </c>
      <c r="L47" s="372">
        <v>5.0821642295964242</v>
      </c>
    </row>
    <row r="48" spans="1:12" s="4" customFormat="1" ht="13.2" x14ac:dyDescent="0.25">
      <c r="A48" s="29" t="s">
        <v>44</v>
      </c>
      <c r="B48" s="84" t="s">
        <v>13</v>
      </c>
      <c r="C48" s="371">
        <v>62</v>
      </c>
      <c r="D48" s="371">
        <v>84</v>
      </c>
      <c r="E48" s="371">
        <v>110</v>
      </c>
      <c r="F48" s="371">
        <v>120</v>
      </c>
      <c r="G48" s="371">
        <v>93</v>
      </c>
      <c r="H48" s="371">
        <v>71</v>
      </c>
      <c r="I48" s="371">
        <v>88</v>
      </c>
      <c r="J48" s="372">
        <v>102</v>
      </c>
      <c r="K48" s="372">
        <v>104</v>
      </c>
      <c r="L48" s="372">
        <v>98.688570613041847</v>
      </c>
    </row>
    <row r="49" spans="1:12" s="4" customFormat="1" ht="13.2" x14ac:dyDescent="0.25">
      <c r="A49" s="45" t="s">
        <v>102</v>
      </c>
      <c r="B49" s="48"/>
      <c r="C49" s="34"/>
      <c r="D49" s="34"/>
      <c r="E49" s="34"/>
      <c r="F49" s="34"/>
      <c r="G49" s="34"/>
      <c r="H49" s="34"/>
      <c r="I49" s="34"/>
      <c r="J49" s="34"/>
      <c r="K49" s="34"/>
      <c r="L49" s="35"/>
    </row>
    <row r="50" spans="1:12" s="4" customFormat="1" x14ac:dyDescent="0.25">
      <c r="A50" s="29" t="s">
        <v>243</v>
      </c>
      <c r="B50" s="84" t="s">
        <v>13</v>
      </c>
      <c r="C50" s="371">
        <f t="shared" ref="C50:K50" si="1">C51+C52</f>
        <v>308.82779058281199</v>
      </c>
      <c r="D50" s="371">
        <f t="shared" si="1"/>
        <v>214.08642395372576</v>
      </c>
      <c r="E50" s="371">
        <f t="shared" si="1"/>
        <v>218.11514956577679</v>
      </c>
      <c r="F50" s="371">
        <f t="shared" si="1"/>
        <v>173.98605965463108</v>
      </c>
      <c r="G50" s="371">
        <f t="shared" si="1"/>
        <v>143.05583029672044</v>
      </c>
      <c r="H50" s="371">
        <f t="shared" si="1"/>
        <v>158.83661417322833</v>
      </c>
      <c r="I50" s="371">
        <f t="shared" si="1"/>
        <v>183.828136655229</v>
      </c>
      <c r="J50" s="371">
        <f t="shared" si="1"/>
        <v>198</v>
      </c>
      <c r="K50" s="371">
        <f t="shared" si="1"/>
        <v>242.4</v>
      </c>
      <c r="L50" s="371">
        <v>278</v>
      </c>
    </row>
    <row r="51" spans="1:12" s="4" customFormat="1" ht="13.2" x14ac:dyDescent="0.25">
      <c r="A51" s="29" t="s">
        <v>103</v>
      </c>
      <c r="B51" s="84" t="s">
        <v>13</v>
      </c>
      <c r="C51" s="371">
        <v>298.97925584458346</v>
      </c>
      <c r="D51" s="371">
        <v>186.38992854712487</v>
      </c>
      <c r="E51" s="371">
        <v>184.23930524284336</v>
      </c>
      <c r="F51" s="371">
        <v>109.89010989010988</v>
      </c>
      <c r="G51" s="371">
        <v>70.952628839146271</v>
      </c>
      <c r="H51" s="371">
        <v>58</v>
      </c>
      <c r="I51" s="371">
        <v>78.323138893032976</v>
      </c>
      <c r="J51" s="372">
        <v>115</v>
      </c>
      <c r="K51" s="372">
        <v>115.4</v>
      </c>
      <c r="L51" s="372">
        <v>121</v>
      </c>
    </row>
    <row r="52" spans="1:12" s="4" customFormat="1" ht="13.2" x14ac:dyDescent="0.25">
      <c r="A52" s="29" t="s">
        <v>111</v>
      </c>
      <c r="B52" s="179" t="s">
        <v>13</v>
      </c>
      <c r="C52" s="371">
        <v>9.8485347382285156</v>
      </c>
      <c r="D52" s="371">
        <v>27.696495406600885</v>
      </c>
      <c r="E52" s="371">
        <v>33.875844322933418</v>
      </c>
      <c r="F52" s="371">
        <v>64.095949764521194</v>
      </c>
      <c r="G52" s="371">
        <v>72.103201457574173</v>
      </c>
      <c r="H52" s="371">
        <v>100.83661417322834</v>
      </c>
      <c r="I52" s="371">
        <v>105.50499776219603</v>
      </c>
      <c r="J52" s="372">
        <v>83</v>
      </c>
      <c r="K52" s="372">
        <f>70+57</f>
        <v>127</v>
      </c>
      <c r="L52" s="372">
        <f>58+100</f>
        <v>158</v>
      </c>
    </row>
    <row r="53" spans="1:12" s="4" customFormat="1" ht="13.2" x14ac:dyDescent="0.25">
      <c r="A53" s="191" t="s">
        <v>104</v>
      </c>
      <c r="B53" s="178"/>
      <c r="C53" s="27"/>
      <c r="D53" s="408"/>
      <c r="E53" s="408"/>
      <c r="F53" s="408"/>
      <c r="G53" s="408"/>
      <c r="H53" s="408"/>
      <c r="I53" s="408"/>
      <c r="J53" s="408"/>
      <c r="K53" s="408"/>
      <c r="L53" s="409"/>
    </row>
    <row r="54" spans="1:12" s="4" customFormat="1" ht="3.75" customHeight="1" x14ac:dyDescent="0.25">
      <c r="A54" s="29"/>
      <c r="B54" s="31"/>
      <c r="C54" s="12"/>
      <c r="D54" s="12"/>
      <c r="E54" s="12"/>
      <c r="F54" s="12"/>
      <c r="G54" s="12"/>
      <c r="H54" s="12"/>
      <c r="I54" s="12"/>
      <c r="J54" s="12"/>
      <c r="K54" s="12"/>
      <c r="L54" s="13"/>
    </row>
    <row r="55" spans="1:12" s="4" customFormat="1" ht="13.2" x14ac:dyDescent="0.25">
      <c r="A55" s="45" t="s">
        <v>234</v>
      </c>
      <c r="B55" s="46"/>
      <c r="C55" s="189"/>
      <c r="D55" s="34"/>
      <c r="E55" s="418"/>
      <c r="F55" s="418"/>
      <c r="G55" s="418"/>
      <c r="H55" s="418"/>
      <c r="I55" s="418"/>
      <c r="J55" s="418"/>
      <c r="K55" s="418"/>
      <c r="L55" s="419"/>
    </row>
    <row r="56" spans="1:12" s="4" customFormat="1" ht="19.2" customHeight="1" x14ac:dyDescent="0.25">
      <c r="A56" s="29" t="s">
        <v>252</v>
      </c>
      <c r="B56" s="435" t="s">
        <v>262</v>
      </c>
      <c r="C56" s="52" t="s">
        <v>118</v>
      </c>
      <c r="D56" s="52" t="s">
        <v>118</v>
      </c>
      <c r="E56" s="52" t="s">
        <v>118</v>
      </c>
      <c r="F56" s="44">
        <v>0.1</v>
      </c>
      <c r="G56" s="44">
        <v>7.0000000000000007E-2</v>
      </c>
      <c r="H56" s="44">
        <v>0.12</v>
      </c>
      <c r="I56" s="44">
        <v>0.11</v>
      </c>
      <c r="J56" s="44">
        <v>0.08</v>
      </c>
      <c r="K56" s="44">
        <v>0.05</v>
      </c>
      <c r="L56" s="44">
        <v>0.08</v>
      </c>
    </row>
    <row r="57" spans="1:12" s="4" customFormat="1" x14ac:dyDescent="0.25">
      <c r="A57" s="29" t="s">
        <v>253</v>
      </c>
      <c r="B57" s="435" t="s">
        <v>262</v>
      </c>
      <c r="C57" s="52" t="s">
        <v>118</v>
      </c>
      <c r="D57" s="52" t="s">
        <v>118</v>
      </c>
      <c r="E57" s="52" t="s">
        <v>118</v>
      </c>
      <c r="F57" s="44">
        <v>0.8</v>
      </c>
      <c r="G57" s="44">
        <v>0.48</v>
      </c>
      <c r="H57" s="44">
        <v>0.62</v>
      </c>
      <c r="I57" s="44">
        <v>0.35</v>
      </c>
      <c r="J57" s="44">
        <v>0.44</v>
      </c>
      <c r="K57" s="44">
        <v>0.23</v>
      </c>
      <c r="L57" s="44">
        <v>0.32</v>
      </c>
    </row>
    <row r="58" spans="1:12" s="4" customFormat="1" x14ac:dyDescent="0.25">
      <c r="A58" s="29" t="s">
        <v>248</v>
      </c>
      <c r="B58" s="358" t="s">
        <v>20</v>
      </c>
      <c r="C58" s="25">
        <f t="shared" ref="C58:I58" si="2">C59+C60</f>
        <v>107</v>
      </c>
      <c r="D58" s="25">
        <f t="shared" si="2"/>
        <v>116</v>
      </c>
      <c r="E58" s="25">
        <f t="shared" si="2"/>
        <v>103</v>
      </c>
      <c r="F58" s="25">
        <f t="shared" si="2"/>
        <v>106</v>
      </c>
      <c r="G58" s="25">
        <f t="shared" si="2"/>
        <v>64</v>
      </c>
      <c r="H58" s="25">
        <f t="shared" si="2"/>
        <v>88</v>
      </c>
      <c r="I58" s="25">
        <f t="shared" si="2"/>
        <v>56</v>
      </c>
      <c r="J58" s="25">
        <f>J59+J60</f>
        <v>61</v>
      </c>
      <c r="K58" s="25">
        <v>32</v>
      </c>
      <c r="L58" s="25">
        <v>44</v>
      </c>
    </row>
    <row r="59" spans="1:12" s="21" customFormat="1" ht="13.2" x14ac:dyDescent="0.25">
      <c r="A59" s="88" t="s">
        <v>106</v>
      </c>
      <c r="B59" s="312" t="s">
        <v>20</v>
      </c>
      <c r="C59" s="89">
        <v>98</v>
      </c>
      <c r="D59" s="89">
        <v>106</v>
      </c>
      <c r="E59" s="89">
        <v>95</v>
      </c>
      <c r="F59" s="89">
        <v>94</v>
      </c>
      <c r="G59" s="89">
        <v>56</v>
      </c>
      <c r="H59" s="89">
        <v>74</v>
      </c>
      <c r="I59" s="89">
        <v>43</v>
      </c>
      <c r="J59" s="89">
        <v>52</v>
      </c>
      <c r="K59" s="89">
        <v>26</v>
      </c>
      <c r="L59" s="89">
        <v>35</v>
      </c>
    </row>
    <row r="60" spans="1:12" s="21" customFormat="1" ht="13.2" x14ac:dyDescent="0.25">
      <c r="A60" s="88" t="s">
        <v>105</v>
      </c>
      <c r="B60" s="312" t="s">
        <v>20</v>
      </c>
      <c r="C60" s="89">
        <v>9</v>
      </c>
      <c r="D60" s="89">
        <v>10</v>
      </c>
      <c r="E60" s="89">
        <v>8</v>
      </c>
      <c r="F60" s="89">
        <v>12</v>
      </c>
      <c r="G60" s="89">
        <v>8</v>
      </c>
      <c r="H60" s="90">
        <v>14</v>
      </c>
      <c r="I60" s="90">
        <v>13</v>
      </c>
      <c r="J60" s="90">
        <v>9</v>
      </c>
      <c r="K60" s="90">
        <v>6</v>
      </c>
      <c r="L60" s="90">
        <v>9</v>
      </c>
    </row>
    <row r="61" spans="1:12" s="4" customFormat="1" ht="13.2" x14ac:dyDescent="0.25">
      <c r="A61" s="29" t="s">
        <v>166</v>
      </c>
      <c r="B61" s="358" t="s">
        <v>20</v>
      </c>
      <c r="C61" s="52" t="s">
        <v>118</v>
      </c>
      <c r="D61" s="52" t="s">
        <v>118</v>
      </c>
      <c r="E61" s="52" t="s">
        <v>118</v>
      </c>
      <c r="F61" s="52" t="s">
        <v>118</v>
      </c>
      <c r="G61" s="33">
        <v>13</v>
      </c>
      <c r="H61" s="33">
        <v>19</v>
      </c>
      <c r="I61" s="55">
        <v>17</v>
      </c>
      <c r="J61" s="33">
        <v>16</v>
      </c>
      <c r="K61" s="55">
        <v>19</v>
      </c>
      <c r="L61" s="55">
        <v>9</v>
      </c>
    </row>
    <row r="62" spans="1:12" s="21" customFormat="1" ht="13.2" x14ac:dyDescent="0.25">
      <c r="A62" s="88" t="s">
        <v>105</v>
      </c>
      <c r="B62" s="312" t="s">
        <v>20</v>
      </c>
      <c r="C62" s="386" t="s">
        <v>118</v>
      </c>
      <c r="D62" s="386" t="s">
        <v>118</v>
      </c>
      <c r="E62" s="386" t="s">
        <v>118</v>
      </c>
      <c r="F62" s="386" t="s">
        <v>118</v>
      </c>
      <c r="G62" s="91">
        <v>5</v>
      </c>
      <c r="H62" s="91">
        <v>5</v>
      </c>
      <c r="I62" s="92">
        <v>7</v>
      </c>
      <c r="J62" s="91">
        <v>1</v>
      </c>
      <c r="K62" s="91">
        <v>2</v>
      </c>
      <c r="L62" s="91">
        <v>1</v>
      </c>
    </row>
    <row r="63" spans="1:12" ht="15" x14ac:dyDescent="0.3">
      <c r="A63" s="45" t="s">
        <v>235</v>
      </c>
      <c r="B63" s="46"/>
      <c r="C63" s="189"/>
      <c r="D63" s="34"/>
      <c r="E63" s="34"/>
      <c r="F63" s="418"/>
      <c r="G63" s="418"/>
      <c r="H63" s="418"/>
      <c r="I63" s="418"/>
      <c r="J63" s="418"/>
      <c r="K63" s="418"/>
      <c r="L63" s="419"/>
    </row>
    <row r="64" spans="1:12" x14ac:dyDescent="0.3">
      <c r="A64" s="30" t="s">
        <v>112</v>
      </c>
      <c r="B64" s="179" t="s">
        <v>13</v>
      </c>
      <c r="C64" s="25">
        <v>100.75732630885742</v>
      </c>
      <c r="D64" s="25">
        <v>147.77135079959169</v>
      </c>
      <c r="E64" s="25">
        <v>206.56159536828562</v>
      </c>
      <c r="F64" s="25">
        <v>128.57142857142856</v>
      </c>
      <c r="G64" s="25">
        <v>193.80530973451326</v>
      </c>
      <c r="H64" s="26">
        <v>176.31233595800524</v>
      </c>
      <c r="I64" s="25">
        <v>127.03267193793823</v>
      </c>
      <c r="J64" s="25">
        <v>149</v>
      </c>
      <c r="K64" s="25">
        <v>168</v>
      </c>
      <c r="L64" s="25">
        <v>159</v>
      </c>
    </row>
    <row r="65" spans="1:12" s="82" customFormat="1" x14ac:dyDescent="0.3">
      <c r="A65" s="180" t="s">
        <v>218</v>
      </c>
      <c r="B65" s="178"/>
      <c r="C65" s="27"/>
      <c r="D65" s="27"/>
      <c r="E65" s="408"/>
      <c r="F65" s="408"/>
      <c r="G65" s="408"/>
      <c r="H65" s="408"/>
      <c r="I65" s="408"/>
      <c r="J65" s="408"/>
      <c r="K65" s="408"/>
      <c r="L65" s="409"/>
    </row>
    <row r="66" spans="1:12" s="82" customFormat="1" x14ac:dyDescent="0.3">
      <c r="A66" s="101" t="s">
        <v>18</v>
      </c>
      <c r="B66" s="94" t="s">
        <v>12</v>
      </c>
      <c r="C66" s="122">
        <v>30.37</v>
      </c>
      <c r="D66" s="123">
        <v>29.39</v>
      </c>
      <c r="E66" s="123">
        <v>31.093</v>
      </c>
      <c r="F66" s="123">
        <v>31.847999999999999</v>
      </c>
      <c r="G66" s="123">
        <v>38.421700000000001</v>
      </c>
      <c r="H66" s="123">
        <v>60.957900000000002</v>
      </c>
      <c r="I66" s="123">
        <v>67.034899999999993</v>
      </c>
      <c r="J66" s="123">
        <v>58.352899999999998</v>
      </c>
      <c r="K66" s="123">
        <v>62.707799999999999</v>
      </c>
      <c r="L66" s="123">
        <v>64.736199999999997</v>
      </c>
    </row>
    <row r="67" spans="1:12" x14ac:dyDescent="0.3">
      <c r="A67" s="68"/>
      <c r="B67" s="85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x14ac:dyDescent="0.3">
      <c r="A68" s="209" t="s">
        <v>41</v>
      </c>
      <c r="B68" s="210"/>
      <c r="C68" s="210"/>
      <c r="D68" s="210"/>
      <c r="E68" s="210"/>
      <c r="F68" s="210"/>
      <c r="G68" s="210"/>
      <c r="H68" s="210"/>
      <c r="I68" s="87"/>
      <c r="J68" s="87"/>
      <c r="K68" s="87"/>
      <c r="L68" s="263"/>
    </row>
    <row r="69" spans="1:12" x14ac:dyDescent="0.3">
      <c r="A69" s="211" t="s">
        <v>249</v>
      </c>
      <c r="B69" s="211"/>
      <c r="C69" s="212"/>
      <c r="D69" s="212"/>
      <c r="E69" s="212"/>
      <c r="F69" s="212"/>
      <c r="G69" s="212"/>
      <c r="H69" s="212"/>
      <c r="I69" s="87"/>
      <c r="J69" s="87"/>
      <c r="K69" s="87"/>
      <c r="L69" s="228"/>
    </row>
    <row r="70" spans="1:12" x14ac:dyDescent="0.3">
      <c r="A70" s="214" t="s">
        <v>250</v>
      </c>
      <c r="B70" s="215"/>
      <c r="C70" s="216"/>
      <c r="D70" s="216"/>
      <c r="E70" s="216"/>
      <c r="F70" s="216"/>
      <c r="G70" s="216"/>
      <c r="H70" s="216"/>
      <c r="I70" s="87"/>
      <c r="J70" s="87"/>
      <c r="K70" s="87"/>
      <c r="L70" s="263"/>
    </row>
    <row r="71" spans="1:12" x14ac:dyDescent="0.3">
      <c r="A71" s="423" t="s">
        <v>251</v>
      </c>
      <c r="B71" s="423"/>
      <c r="C71" s="423"/>
      <c r="D71" s="423"/>
      <c r="E71" s="423"/>
      <c r="F71" s="423"/>
      <c r="G71" s="423"/>
      <c r="H71" s="423"/>
      <c r="I71" s="87"/>
      <c r="J71" s="87"/>
      <c r="K71" s="87"/>
      <c r="L71" s="263"/>
    </row>
    <row r="72" spans="1:12" ht="60.75" customHeight="1" x14ac:dyDescent="0.3">
      <c r="A72" s="421" t="s">
        <v>194</v>
      </c>
      <c r="B72" s="422"/>
      <c r="C72" s="213"/>
      <c r="D72" s="213"/>
      <c r="E72" s="213"/>
      <c r="F72" s="213"/>
      <c r="G72" s="213"/>
      <c r="H72" s="213"/>
      <c r="I72" s="87"/>
      <c r="J72" s="87"/>
      <c r="K72" s="87"/>
      <c r="L72" s="213"/>
    </row>
    <row r="73" spans="1:12" x14ac:dyDescent="0.3">
      <c r="A73" s="424" t="s">
        <v>195</v>
      </c>
      <c r="B73" s="424"/>
      <c r="C73" s="424"/>
      <c r="D73" s="424"/>
      <c r="E73" s="424"/>
      <c r="F73" s="424"/>
      <c r="G73" s="424"/>
      <c r="H73" s="424"/>
      <c r="I73" s="87"/>
      <c r="J73" s="87"/>
      <c r="K73" s="87"/>
      <c r="L73" s="264"/>
    </row>
    <row r="74" spans="1:12" x14ac:dyDescent="0.3">
      <c r="A74" s="68"/>
      <c r="B74" s="85"/>
      <c r="C74" s="87"/>
      <c r="D74" s="87"/>
      <c r="E74" s="87"/>
      <c r="F74" s="87"/>
      <c r="G74" s="87"/>
      <c r="H74" s="87"/>
      <c r="I74" s="87"/>
      <c r="J74" s="87"/>
      <c r="K74" s="87"/>
      <c r="L74" s="80"/>
    </row>
    <row r="75" spans="1:12" x14ac:dyDescent="0.3">
      <c r="A75" s="153" t="s">
        <v>138</v>
      </c>
      <c r="B75" s="420"/>
      <c r="C75" s="420"/>
      <c r="D75" s="420"/>
      <c r="E75" s="420"/>
      <c r="F75" s="420"/>
      <c r="G75" s="420"/>
      <c r="H75" s="420"/>
      <c r="I75" s="420"/>
    </row>
    <row r="76" spans="1:12" x14ac:dyDescent="0.3">
      <c r="A76" s="157" t="s">
        <v>113</v>
      </c>
      <c r="B76" s="420"/>
      <c r="C76" s="420"/>
      <c r="D76" s="420"/>
      <c r="E76" s="420"/>
      <c r="F76" s="420"/>
      <c r="G76" s="420"/>
      <c r="H76" s="420"/>
      <c r="I76" s="420"/>
    </row>
    <row r="77" spans="1:12" x14ac:dyDescent="0.3">
      <c r="A77" s="154" t="s">
        <v>87</v>
      </c>
      <c r="B77" s="420"/>
      <c r="C77" s="420"/>
      <c r="D77" s="420"/>
      <c r="E77" s="420"/>
      <c r="F77" s="420"/>
      <c r="G77" s="420"/>
      <c r="H77" s="420"/>
      <c r="I77" s="420"/>
    </row>
    <row r="78" spans="1:12" x14ac:dyDescent="0.3">
      <c r="A78" s="154" t="s">
        <v>88</v>
      </c>
      <c r="B78" s="420"/>
      <c r="C78" s="420"/>
      <c r="D78" s="420"/>
      <c r="E78" s="420"/>
      <c r="F78" s="420"/>
      <c r="G78" s="420"/>
      <c r="H78" s="420"/>
      <c r="I78" s="420"/>
    </row>
    <row r="79" spans="1:12" x14ac:dyDescent="0.3">
      <c r="A79" s="154" t="s">
        <v>152</v>
      </c>
      <c r="B79" s="420"/>
      <c r="C79" s="420"/>
      <c r="D79" s="420"/>
      <c r="E79" s="420"/>
      <c r="F79" s="420"/>
      <c r="G79" s="420"/>
      <c r="H79" s="420"/>
      <c r="I79" s="420"/>
    </row>
    <row r="80" spans="1:12" x14ac:dyDescent="0.3">
      <c r="A80" s="154" t="s">
        <v>90</v>
      </c>
      <c r="B80" s="420"/>
      <c r="C80" s="420"/>
      <c r="D80" s="420"/>
      <c r="E80" s="420"/>
      <c r="F80" s="420"/>
      <c r="G80" s="420"/>
      <c r="H80" s="420"/>
      <c r="I80" s="420"/>
    </row>
    <row r="81" spans="1:12" x14ac:dyDescent="0.3">
      <c r="A81" s="154" t="s">
        <v>86</v>
      </c>
      <c r="B81" s="420"/>
      <c r="C81" s="420"/>
      <c r="D81" s="420"/>
      <c r="E81" s="420"/>
      <c r="F81" s="420"/>
      <c r="G81" s="420"/>
      <c r="H81" s="420"/>
      <c r="I81" s="420"/>
    </row>
    <row r="82" spans="1:12" x14ac:dyDescent="0.3">
      <c r="A82" s="157" t="s">
        <v>89</v>
      </c>
      <c r="B82" s="420"/>
      <c r="C82" s="420"/>
      <c r="D82" s="420"/>
      <c r="E82" s="420"/>
      <c r="F82" s="420"/>
      <c r="G82" s="420"/>
      <c r="H82" s="420"/>
      <c r="I82" s="420"/>
    </row>
    <row r="83" spans="1:12" x14ac:dyDescent="0.3">
      <c r="A83" s="16"/>
      <c r="B83" s="80"/>
      <c r="C83" s="80"/>
      <c r="D83" s="80"/>
      <c r="E83" s="80"/>
      <c r="F83" s="80"/>
      <c r="G83" s="80"/>
      <c r="H83" s="80"/>
      <c r="I83" s="80"/>
      <c r="J83" s="146"/>
      <c r="K83" s="146"/>
      <c r="L83" s="146"/>
    </row>
    <row r="84" spans="1:12" s="210" customFormat="1" x14ac:dyDescent="0.3">
      <c r="L84"/>
    </row>
    <row r="85" spans="1:12" s="213" customFormat="1" x14ac:dyDescent="0.3">
      <c r="I85" s="212"/>
      <c r="J85" s="212"/>
      <c r="K85" s="212"/>
      <c r="L85"/>
    </row>
    <row r="86" spans="1:12" s="213" customFormat="1" x14ac:dyDescent="0.3">
      <c r="L86"/>
    </row>
    <row r="87" spans="1:12" s="213" customFormat="1" x14ac:dyDescent="0.3">
      <c r="L87"/>
    </row>
    <row r="88" spans="1:12" s="213" customFormat="1" ht="53.25" customHeight="1" x14ac:dyDescent="0.3">
      <c r="L88"/>
    </row>
    <row r="89" spans="1:12" s="213" customFormat="1" ht="15.75" customHeight="1" x14ac:dyDescent="0.3">
      <c r="L89"/>
    </row>
    <row r="90" spans="1:12" x14ac:dyDescent="0.3"/>
    <row r="91" spans="1:12" x14ac:dyDescent="0.3"/>
    <row r="92" spans="1:12" x14ac:dyDescent="0.3"/>
    <row r="93" spans="1:12" x14ac:dyDescent="0.3"/>
    <row r="94" spans="1:12" x14ac:dyDescent="0.3"/>
    <row r="95" spans="1:12" x14ac:dyDescent="0.3"/>
    <row r="96" spans="1:12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hidden="1" x14ac:dyDescent="0.3"/>
    <row r="224" hidden="1" x14ac:dyDescent="0.3"/>
    <row r="225" hidden="1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hidden="1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</sheetData>
  <mergeCells count="36">
    <mergeCell ref="A72:B72"/>
    <mergeCell ref="A71:H71"/>
    <mergeCell ref="A73:H73"/>
    <mergeCell ref="C31:L31"/>
    <mergeCell ref="D33:L33"/>
    <mergeCell ref="C36:L36"/>
    <mergeCell ref="C40:L40"/>
    <mergeCell ref="D43:L43"/>
    <mergeCell ref="D53:L53"/>
    <mergeCell ref="F63:L63"/>
    <mergeCell ref="E65:L65"/>
    <mergeCell ref="E55:L55"/>
    <mergeCell ref="B82:I82"/>
    <mergeCell ref="B75:I75"/>
    <mergeCell ref="B81:I81"/>
    <mergeCell ref="B77:I77"/>
    <mergeCell ref="B76:I76"/>
    <mergeCell ref="B78:I78"/>
    <mergeCell ref="B80:I80"/>
    <mergeCell ref="B79:I79"/>
    <mergeCell ref="A1:A3"/>
    <mergeCell ref="G1:G3"/>
    <mergeCell ref="H1:H3"/>
    <mergeCell ref="I1:I3"/>
    <mergeCell ref="J1:J3"/>
    <mergeCell ref="B1:B3"/>
    <mergeCell ref="C1:C3"/>
    <mergeCell ref="D1:D3"/>
    <mergeCell ref="E1:E3"/>
    <mergeCell ref="F1:F3"/>
    <mergeCell ref="L1:L3"/>
    <mergeCell ref="C20:L20"/>
    <mergeCell ref="C7:L7"/>
    <mergeCell ref="F5:L5"/>
    <mergeCell ref="E28:L28"/>
    <mergeCell ref="K1:K3"/>
  </mergeCells>
  <hyperlinks>
    <hyperlink ref="A76" r:id="rId1"/>
    <hyperlink ref="A77" r:id="rId2"/>
    <hyperlink ref="A78" r:id="rId3"/>
    <hyperlink ref="A79" r:id="rId4"/>
    <hyperlink ref="A80" r:id="rId5"/>
    <hyperlink ref="A81" r:id="rId6"/>
    <hyperlink ref="A82" r:id="rId7"/>
  </hyperlinks>
  <pageMargins left="0.25" right="0.25" top="0.75" bottom="0.75" header="0.3" footer="0.3"/>
  <pageSetup paperSize="9" scale="62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176C3"/>
    <pageSetUpPr fitToPage="1"/>
  </sheetPr>
  <dimension ref="A1:L91"/>
  <sheetViews>
    <sheetView showGridLines="0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14" sqref="N14"/>
    </sheetView>
  </sheetViews>
  <sheetFormatPr defaultRowHeight="14.4" x14ac:dyDescent="0.3"/>
  <cols>
    <col min="1" max="1" width="69.109375" style="23" customWidth="1"/>
    <col min="2" max="2" width="15" style="23" customWidth="1"/>
    <col min="3" max="9" width="7" style="23" bestFit="1" customWidth="1"/>
    <col min="10" max="10" width="8.6640625" style="23" customWidth="1"/>
    <col min="11" max="12" width="7" style="23" bestFit="1" customWidth="1"/>
  </cols>
  <sheetData>
    <row r="1" spans="1:12" ht="14.4" customHeight="1" x14ac:dyDescent="0.3">
      <c r="A1" s="399" t="s">
        <v>176</v>
      </c>
      <c r="B1" s="400" t="s">
        <v>17</v>
      </c>
      <c r="C1" s="425">
        <v>2010</v>
      </c>
      <c r="D1" s="392">
        <v>2011</v>
      </c>
      <c r="E1" s="392">
        <v>2012</v>
      </c>
      <c r="F1" s="392">
        <v>2013</v>
      </c>
      <c r="G1" s="392">
        <v>2014</v>
      </c>
      <c r="H1" s="392">
        <v>2015</v>
      </c>
      <c r="I1" s="392">
        <v>2016</v>
      </c>
      <c r="J1" s="392">
        <v>2017</v>
      </c>
      <c r="K1" s="392">
        <v>2018</v>
      </c>
      <c r="L1" s="403">
        <v>2019</v>
      </c>
    </row>
    <row r="2" spans="1:12" ht="14.4" customHeight="1" x14ac:dyDescent="0.3">
      <c r="A2" s="399"/>
      <c r="B2" s="400"/>
      <c r="C2" s="425"/>
      <c r="D2" s="392"/>
      <c r="E2" s="392"/>
      <c r="F2" s="392"/>
      <c r="G2" s="392"/>
      <c r="H2" s="392"/>
      <c r="I2" s="392"/>
      <c r="J2" s="392"/>
      <c r="K2" s="392"/>
      <c r="L2" s="403"/>
    </row>
    <row r="3" spans="1:12" ht="14.4" customHeight="1" x14ac:dyDescent="0.3">
      <c r="A3" s="399"/>
      <c r="B3" s="400"/>
      <c r="C3" s="425"/>
      <c r="D3" s="392"/>
      <c r="E3" s="392"/>
      <c r="F3" s="392"/>
      <c r="G3" s="392"/>
      <c r="H3" s="392"/>
      <c r="I3" s="392"/>
      <c r="J3" s="392"/>
      <c r="K3" s="392"/>
      <c r="L3" s="403"/>
    </row>
    <row r="4" spans="1:12" ht="6.75" customHeight="1" x14ac:dyDescent="0.3">
      <c r="A4" s="195"/>
      <c r="B4" s="196"/>
      <c r="C4" s="4"/>
      <c r="D4" s="4"/>
      <c r="E4" s="4"/>
      <c r="F4" s="4"/>
      <c r="G4" s="14"/>
      <c r="H4" s="14"/>
      <c r="I4" s="14"/>
      <c r="J4" s="14"/>
      <c r="K4" s="14"/>
      <c r="L4" s="65"/>
    </row>
    <row r="5" spans="1:12" ht="15" x14ac:dyDescent="0.3">
      <c r="A5" s="191" t="s">
        <v>192</v>
      </c>
      <c r="B5" s="186"/>
      <c r="C5" s="7"/>
      <c r="D5" s="173"/>
      <c r="E5" s="173"/>
      <c r="F5" s="173"/>
      <c r="G5" s="173"/>
      <c r="H5" s="173"/>
      <c r="I5" s="173"/>
      <c r="J5" s="173"/>
      <c r="K5" s="374"/>
      <c r="L5" s="177"/>
    </row>
    <row r="6" spans="1:12" ht="5.25" customHeight="1" x14ac:dyDescent="0.3">
      <c r="A6" s="40"/>
      <c r="B6" s="32"/>
      <c r="C6" s="9"/>
      <c r="D6" s="9"/>
      <c r="E6" s="9"/>
      <c r="F6" s="9"/>
      <c r="G6" s="9"/>
      <c r="H6" s="9"/>
      <c r="I6" s="9"/>
      <c r="J6" s="9"/>
      <c r="K6" s="9"/>
      <c r="L6" s="19"/>
    </row>
    <row r="7" spans="1:12" x14ac:dyDescent="0.3">
      <c r="A7" s="45" t="s">
        <v>114</v>
      </c>
      <c r="B7" s="48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3">
      <c r="A8" s="73" t="s">
        <v>37</v>
      </c>
      <c r="B8" s="69" t="s">
        <v>20</v>
      </c>
      <c r="C8" s="38">
        <f t="shared" ref="C8:H8" si="0">C9+C11+C13</f>
        <v>13</v>
      </c>
      <c r="D8" s="38">
        <f t="shared" si="0"/>
        <v>13</v>
      </c>
      <c r="E8" s="38">
        <f t="shared" si="0"/>
        <v>13</v>
      </c>
      <c r="F8" s="38">
        <f t="shared" si="0"/>
        <v>13</v>
      </c>
      <c r="G8" s="38">
        <f t="shared" si="0"/>
        <v>13</v>
      </c>
      <c r="H8" s="38">
        <f t="shared" si="0"/>
        <v>13</v>
      </c>
      <c r="I8" s="38">
        <v>13</v>
      </c>
      <c r="J8" s="38">
        <v>13</v>
      </c>
      <c r="K8" s="38">
        <v>13</v>
      </c>
      <c r="L8" s="38">
        <v>13</v>
      </c>
    </row>
    <row r="9" spans="1:12" x14ac:dyDescent="0.3">
      <c r="A9" s="73" t="s">
        <v>22</v>
      </c>
      <c r="B9" s="69" t="s">
        <v>20</v>
      </c>
      <c r="C9" s="38">
        <v>3</v>
      </c>
      <c r="D9" s="38">
        <v>6</v>
      </c>
      <c r="E9" s="38">
        <v>5</v>
      </c>
      <c r="F9" s="38">
        <v>5</v>
      </c>
      <c r="G9" s="38">
        <v>5</v>
      </c>
      <c r="H9" s="38">
        <v>5</v>
      </c>
      <c r="I9" s="38">
        <v>5</v>
      </c>
      <c r="J9" s="38">
        <v>4</v>
      </c>
      <c r="K9" s="38">
        <v>6</v>
      </c>
      <c r="L9" s="38">
        <v>7</v>
      </c>
    </row>
    <row r="10" spans="1:12" x14ac:dyDescent="0.3">
      <c r="A10" s="74" t="s">
        <v>38</v>
      </c>
      <c r="B10" s="70" t="s">
        <v>0</v>
      </c>
      <c r="C10" s="50">
        <f t="shared" ref="C10:H10" si="1">C9/C8</f>
        <v>0.23076923076923078</v>
      </c>
      <c r="D10" s="50">
        <f t="shared" si="1"/>
        <v>0.46153846153846156</v>
      </c>
      <c r="E10" s="50">
        <f t="shared" si="1"/>
        <v>0.38461538461538464</v>
      </c>
      <c r="F10" s="50">
        <f t="shared" si="1"/>
        <v>0.38461538461538464</v>
      </c>
      <c r="G10" s="50">
        <f t="shared" si="1"/>
        <v>0.38461538461538464</v>
      </c>
      <c r="H10" s="50">
        <f t="shared" si="1"/>
        <v>0.38461538461538464</v>
      </c>
      <c r="I10" s="50">
        <f>I9/I8</f>
        <v>0.38461538461538464</v>
      </c>
      <c r="J10" s="50">
        <f>J9/J8</f>
        <v>0.30769230769230771</v>
      </c>
      <c r="K10" s="50">
        <f t="shared" ref="K10:L10" si="2">K9/K8</f>
        <v>0.46153846153846156</v>
      </c>
      <c r="L10" s="50">
        <f t="shared" si="2"/>
        <v>0.53846153846153844</v>
      </c>
    </row>
    <row r="11" spans="1:12" x14ac:dyDescent="0.3">
      <c r="A11" s="73" t="s">
        <v>23</v>
      </c>
      <c r="B11" s="69" t="s">
        <v>20</v>
      </c>
      <c r="C11" s="78">
        <v>7</v>
      </c>
      <c r="D11" s="78">
        <v>6</v>
      </c>
      <c r="E11" s="78">
        <v>7</v>
      </c>
      <c r="F11" s="78">
        <v>7</v>
      </c>
      <c r="G11" s="78">
        <v>7</v>
      </c>
      <c r="H11" s="78">
        <v>6</v>
      </c>
      <c r="I11" s="78">
        <v>6</v>
      </c>
      <c r="J11" s="78">
        <v>6</v>
      </c>
      <c r="K11" s="78">
        <v>4</v>
      </c>
      <c r="L11" s="78">
        <v>3</v>
      </c>
    </row>
    <row r="12" spans="1:12" s="99" customFormat="1" x14ac:dyDescent="0.3">
      <c r="A12" s="74" t="s">
        <v>34</v>
      </c>
      <c r="B12" s="70" t="s">
        <v>0</v>
      </c>
      <c r="C12" s="50">
        <f t="shared" ref="C12:I12" si="3">C11/C8</f>
        <v>0.53846153846153844</v>
      </c>
      <c r="D12" s="50">
        <f t="shared" si="3"/>
        <v>0.46153846153846156</v>
      </c>
      <c r="E12" s="50">
        <f t="shared" si="3"/>
        <v>0.53846153846153844</v>
      </c>
      <c r="F12" s="50">
        <f t="shared" si="3"/>
        <v>0.53846153846153844</v>
      </c>
      <c r="G12" s="50">
        <f t="shared" si="3"/>
        <v>0.53846153846153844</v>
      </c>
      <c r="H12" s="50">
        <f t="shared" si="3"/>
        <v>0.46153846153846156</v>
      </c>
      <c r="I12" s="50">
        <f t="shared" si="3"/>
        <v>0.46153846153846156</v>
      </c>
      <c r="J12" s="50">
        <f>J11/J8</f>
        <v>0.46153846153846156</v>
      </c>
      <c r="K12" s="50">
        <f>K11/K8</f>
        <v>0.30769230769230771</v>
      </c>
      <c r="L12" s="50">
        <f>L11/L8</f>
        <v>0.23076923076923078</v>
      </c>
    </row>
    <row r="13" spans="1:12" x14ac:dyDescent="0.3">
      <c r="A13" s="73" t="s">
        <v>24</v>
      </c>
      <c r="B13" s="69" t="s">
        <v>20</v>
      </c>
      <c r="C13" s="38">
        <v>3</v>
      </c>
      <c r="D13" s="38">
        <v>1</v>
      </c>
      <c r="E13" s="38">
        <v>1</v>
      </c>
      <c r="F13" s="38">
        <v>1</v>
      </c>
      <c r="G13" s="38">
        <v>1</v>
      </c>
      <c r="H13" s="38">
        <v>2</v>
      </c>
      <c r="I13" s="38">
        <v>2</v>
      </c>
      <c r="J13" s="38">
        <v>2</v>
      </c>
      <c r="K13" s="78">
        <v>3</v>
      </c>
      <c r="L13" s="78">
        <v>3</v>
      </c>
    </row>
    <row r="14" spans="1:12" s="99" customFormat="1" x14ac:dyDescent="0.3">
      <c r="A14" s="74" t="s">
        <v>39</v>
      </c>
      <c r="B14" s="70" t="s">
        <v>0</v>
      </c>
      <c r="C14" s="50">
        <f t="shared" ref="C14:I14" si="4">C13/C8</f>
        <v>0.23076923076923078</v>
      </c>
      <c r="D14" s="50">
        <f t="shared" si="4"/>
        <v>7.6923076923076927E-2</v>
      </c>
      <c r="E14" s="50">
        <f t="shared" si="4"/>
        <v>7.6923076923076927E-2</v>
      </c>
      <c r="F14" s="50">
        <f t="shared" si="4"/>
        <v>7.6923076923076927E-2</v>
      </c>
      <c r="G14" s="50">
        <f t="shared" si="4"/>
        <v>7.6923076923076927E-2</v>
      </c>
      <c r="H14" s="50">
        <f t="shared" si="4"/>
        <v>0.15384615384615385</v>
      </c>
      <c r="I14" s="50">
        <f t="shared" si="4"/>
        <v>0.15384615384615385</v>
      </c>
      <c r="J14" s="50">
        <f>J13/J8</f>
        <v>0.15384615384615385</v>
      </c>
      <c r="K14" s="50">
        <f>K13/K8</f>
        <v>0.23076923076923078</v>
      </c>
      <c r="L14" s="50">
        <f>L13/L8</f>
        <v>0.23076923076923078</v>
      </c>
    </row>
    <row r="15" spans="1:12" x14ac:dyDescent="0.3">
      <c r="A15" s="73" t="s">
        <v>46</v>
      </c>
      <c r="B15" s="69" t="s">
        <v>20</v>
      </c>
      <c r="C15" s="51">
        <v>1</v>
      </c>
      <c r="D15" s="38">
        <v>2</v>
      </c>
      <c r="E15" s="38">
        <v>2</v>
      </c>
      <c r="F15" s="38">
        <v>1</v>
      </c>
      <c r="G15" s="38">
        <v>1</v>
      </c>
      <c r="H15" s="38">
        <v>1</v>
      </c>
      <c r="I15" s="38">
        <v>1</v>
      </c>
      <c r="J15" s="38">
        <v>1</v>
      </c>
      <c r="K15" s="38">
        <v>1</v>
      </c>
      <c r="L15" s="38">
        <v>1</v>
      </c>
    </row>
    <row r="16" spans="1:12" x14ac:dyDescent="0.3">
      <c r="A16" s="73" t="s">
        <v>133</v>
      </c>
      <c r="B16" s="71" t="s">
        <v>132</v>
      </c>
      <c r="C16" s="51">
        <v>51</v>
      </c>
      <c r="D16" s="38">
        <v>64</v>
      </c>
      <c r="E16" s="38">
        <v>62</v>
      </c>
      <c r="F16" s="38">
        <v>64</v>
      </c>
      <c r="G16" s="38">
        <v>42</v>
      </c>
      <c r="H16" s="38">
        <v>47</v>
      </c>
      <c r="I16" s="38">
        <v>50</v>
      </c>
      <c r="J16" s="38">
        <v>42</v>
      </c>
      <c r="K16" s="38">
        <v>45</v>
      </c>
      <c r="L16" s="38">
        <v>34</v>
      </c>
    </row>
    <row r="17" spans="1:12" x14ac:dyDescent="0.3">
      <c r="A17" s="75" t="s">
        <v>35</v>
      </c>
      <c r="B17" s="197" t="s">
        <v>132</v>
      </c>
      <c r="C17" s="37">
        <f>51-40</f>
        <v>11</v>
      </c>
      <c r="D17" s="37">
        <f>64-53</f>
        <v>11</v>
      </c>
      <c r="E17" s="37">
        <f>62-53</f>
        <v>9</v>
      </c>
      <c r="F17" s="37">
        <v>13</v>
      </c>
      <c r="G17" s="37">
        <f>8</f>
        <v>8</v>
      </c>
      <c r="H17" s="37">
        <f>9</f>
        <v>9</v>
      </c>
      <c r="I17" s="37">
        <v>7</v>
      </c>
      <c r="J17" s="37">
        <v>7</v>
      </c>
      <c r="K17" s="37">
        <v>13</v>
      </c>
      <c r="L17" s="37">
        <v>10</v>
      </c>
    </row>
    <row r="18" spans="1:12" x14ac:dyDescent="0.3">
      <c r="A18" s="45" t="s">
        <v>25</v>
      </c>
      <c r="B18" s="48"/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2" x14ac:dyDescent="0.3">
      <c r="A19" s="73" t="s">
        <v>183</v>
      </c>
      <c r="B19" s="198" t="s">
        <v>20</v>
      </c>
      <c r="C19" s="36">
        <v>11</v>
      </c>
      <c r="D19" s="36">
        <v>8</v>
      </c>
      <c r="E19" s="36">
        <v>7</v>
      </c>
      <c r="F19" s="36">
        <v>9</v>
      </c>
      <c r="G19" s="36">
        <v>8</v>
      </c>
      <c r="H19" s="36">
        <v>6</v>
      </c>
      <c r="I19" s="36">
        <v>2</v>
      </c>
      <c r="J19" s="36">
        <v>2</v>
      </c>
      <c r="K19" s="36">
        <v>3</v>
      </c>
      <c r="L19" s="36">
        <v>5</v>
      </c>
    </row>
    <row r="20" spans="1:12" x14ac:dyDescent="0.3">
      <c r="A20" s="76" t="s">
        <v>184</v>
      </c>
      <c r="B20" s="198" t="s">
        <v>20</v>
      </c>
      <c r="C20" s="36">
        <v>0</v>
      </c>
      <c r="D20" s="36">
        <v>4</v>
      </c>
      <c r="E20" s="36">
        <v>5</v>
      </c>
      <c r="F20" s="36">
        <v>3</v>
      </c>
      <c r="G20" s="36">
        <v>2</v>
      </c>
      <c r="H20" s="36">
        <v>5</v>
      </c>
      <c r="I20" s="36">
        <v>7</v>
      </c>
      <c r="J20" s="36">
        <v>6</v>
      </c>
      <c r="K20" s="36">
        <v>4</v>
      </c>
      <c r="L20" s="36">
        <v>0</v>
      </c>
    </row>
    <row r="21" spans="1:12" x14ac:dyDescent="0.3">
      <c r="A21" s="76" t="s">
        <v>185</v>
      </c>
      <c r="B21" s="198" t="s">
        <v>20</v>
      </c>
      <c r="C21" s="36">
        <v>2</v>
      </c>
      <c r="D21" s="36">
        <v>1</v>
      </c>
      <c r="E21" s="36">
        <v>1</v>
      </c>
      <c r="F21" s="36">
        <v>1</v>
      </c>
      <c r="G21" s="36">
        <v>2</v>
      </c>
      <c r="H21" s="36">
        <v>3</v>
      </c>
      <c r="I21" s="36">
        <v>4</v>
      </c>
      <c r="J21" s="36">
        <v>5</v>
      </c>
      <c r="K21" s="36">
        <v>6</v>
      </c>
      <c r="L21" s="36">
        <v>8</v>
      </c>
    </row>
    <row r="22" spans="1:12" x14ac:dyDescent="0.3">
      <c r="A22" s="45" t="s">
        <v>36</v>
      </c>
      <c r="B22" s="48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spans="1:12" x14ac:dyDescent="0.3">
      <c r="A23" s="76" t="s">
        <v>28</v>
      </c>
      <c r="B23" s="198" t="s">
        <v>20</v>
      </c>
      <c r="C23" s="36">
        <v>5</v>
      </c>
      <c r="D23" s="36">
        <v>2</v>
      </c>
      <c r="E23" s="36">
        <v>2</v>
      </c>
      <c r="F23" s="36">
        <v>3</v>
      </c>
      <c r="G23" s="36">
        <v>4</v>
      </c>
      <c r="H23" s="36">
        <v>4</v>
      </c>
      <c r="I23" s="36">
        <v>3</v>
      </c>
      <c r="J23" s="36">
        <v>1</v>
      </c>
      <c r="K23" s="78">
        <v>3</v>
      </c>
      <c r="L23" s="78">
        <v>0</v>
      </c>
    </row>
    <row r="24" spans="1:12" x14ac:dyDescent="0.3">
      <c r="A24" s="76" t="s">
        <v>27</v>
      </c>
      <c r="B24" s="198" t="s">
        <v>20</v>
      </c>
      <c r="C24" s="36">
        <v>8</v>
      </c>
      <c r="D24" s="36">
        <v>11</v>
      </c>
      <c r="E24" s="36">
        <v>10</v>
      </c>
      <c r="F24" s="36">
        <v>8</v>
      </c>
      <c r="G24" s="36">
        <v>8</v>
      </c>
      <c r="H24" s="36">
        <v>8</v>
      </c>
      <c r="I24" s="36">
        <v>9</v>
      </c>
      <c r="J24" s="36">
        <v>11</v>
      </c>
      <c r="K24" s="78">
        <v>9</v>
      </c>
      <c r="L24" s="78">
        <v>10</v>
      </c>
    </row>
    <row r="25" spans="1:12" x14ac:dyDescent="0.3">
      <c r="A25" s="76" t="s">
        <v>26</v>
      </c>
      <c r="B25" s="198" t="s">
        <v>20</v>
      </c>
      <c r="C25" s="36">
        <v>0</v>
      </c>
      <c r="D25" s="36">
        <v>0</v>
      </c>
      <c r="E25" s="108">
        <v>1</v>
      </c>
      <c r="F25" s="200">
        <v>2</v>
      </c>
      <c r="G25" s="200">
        <v>1</v>
      </c>
      <c r="H25" s="200">
        <v>1</v>
      </c>
      <c r="I25" s="36">
        <v>1</v>
      </c>
      <c r="J25" s="36">
        <v>1</v>
      </c>
      <c r="K25" s="78">
        <v>1</v>
      </c>
      <c r="L25" s="78">
        <v>3</v>
      </c>
    </row>
    <row r="26" spans="1:12" x14ac:dyDescent="0.3">
      <c r="A26" s="45" t="s">
        <v>29</v>
      </c>
      <c r="B26" s="48"/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2" x14ac:dyDescent="0.3">
      <c r="A27" s="76" t="s">
        <v>186</v>
      </c>
      <c r="B27" s="69" t="s">
        <v>20</v>
      </c>
      <c r="C27" s="206">
        <v>4</v>
      </c>
      <c r="D27" s="207">
        <v>4</v>
      </c>
      <c r="E27" s="207">
        <v>4</v>
      </c>
      <c r="F27" s="207">
        <v>4</v>
      </c>
      <c r="G27" s="207">
        <v>5</v>
      </c>
      <c r="H27" s="207">
        <v>5</v>
      </c>
      <c r="I27" s="78">
        <v>5</v>
      </c>
      <c r="J27" s="78">
        <v>6</v>
      </c>
      <c r="K27" s="78">
        <v>5</v>
      </c>
      <c r="L27" s="78">
        <v>5</v>
      </c>
    </row>
    <row r="28" spans="1:12" x14ac:dyDescent="0.3">
      <c r="A28" s="76" t="s">
        <v>187</v>
      </c>
      <c r="B28" s="69" t="s">
        <v>20</v>
      </c>
      <c r="C28" s="206">
        <v>5</v>
      </c>
      <c r="D28" s="207">
        <v>7</v>
      </c>
      <c r="E28" s="207">
        <v>8</v>
      </c>
      <c r="F28" s="207">
        <v>8</v>
      </c>
      <c r="G28" s="207">
        <v>8</v>
      </c>
      <c r="H28" s="207">
        <v>8</v>
      </c>
      <c r="I28" s="78">
        <v>8</v>
      </c>
      <c r="J28" s="78">
        <v>9</v>
      </c>
      <c r="K28" s="78">
        <v>9</v>
      </c>
      <c r="L28" s="78">
        <v>6</v>
      </c>
    </row>
    <row r="29" spans="1:12" x14ac:dyDescent="0.3">
      <c r="A29" s="76" t="s">
        <v>188</v>
      </c>
      <c r="B29" s="69" t="s">
        <v>20</v>
      </c>
      <c r="C29" s="206">
        <v>13</v>
      </c>
      <c r="D29" s="207">
        <v>13</v>
      </c>
      <c r="E29" s="207">
        <v>11</v>
      </c>
      <c r="F29" s="207">
        <v>11</v>
      </c>
      <c r="G29" s="207">
        <v>10</v>
      </c>
      <c r="H29" s="207">
        <v>10</v>
      </c>
      <c r="I29" s="78">
        <v>9</v>
      </c>
      <c r="J29" s="78">
        <v>6</v>
      </c>
      <c r="K29" s="78">
        <v>7</v>
      </c>
      <c r="L29" s="78">
        <v>8</v>
      </c>
    </row>
    <row r="30" spans="1:12" x14ac:dyDescent="0.3">
      <c r="A30" s="76" t="s">
        <v>189</v>
      </c>
      <c r="B30" s="69" t="s">
        <v>20</v>
      </c>
      <c r="C30" s="207">
        <v>9</v>
      </c>
      <c r="D30" s="207">
        <v>8</v>
      </c>
      <c r="E30" s="207">
        <v>9</v>
      </c>
      <c r="F30" s="207">
        <v>9</v>
      </c>
      <c r="G30" s="207">
        <v>9</v>
      </c>
      <c r="H30" s="207">
        <v>9</v>
      </c>
      <c r="I30" s="78">
        <v>10</v>
      </c>
      <c r="J30" s="78">
        <v>10</v>
      </c>
      <c r="K30" s="78">
        <v>9</v>
      </c>
      <c r="L30" s="78">
        <v>8</v>
      </c>
    </row>
    <row r="31" spans="1:12" x14ac:dyDescent="0.3">
      <c r="A31" s="76" t="s">
        <v>190</v>
      </c>
      <c r="B31" s="69" t="s">
        <v>20</v>
      </c>
      <c r="C31" s="207">
        <v>3</v>
      </c>
      <c r="D31" s="207">
        <v>3</v>
      </c>
      <c r="E31" s="207">
        <v>4</v>
      </c>
      <c r="F31" s="207">
        <v>5</v>
      </c>
      <c r="G31" s="207">
        <v>6</v>
      </c>
      <c r="H31" s="207">
        <v>5</v>
      </c>
      <c r="I31" s="78">
        <v>5</v>
      </c>
      <c r="J31" s="78">
        <v>6</v>
      </c>
      <c r="K31" s="78">
        <v>5</v>
      </c>
      <c r="L31" s="78">
        <v>5</v>
      </c>
    </row>
    <row r="32" spans="1:12" ht="15" x14ac:dyDescent="0.3">
      <c r="A32" s="191" t="s">
        <v>191</v>
      </c>
      <c r="B32" s="178"/>
      <c r="C32" s="7"/>
      <c r="D32" s="7"/>
      <c r="E32" s="7"/>
      <c r="F32" s="7"/>
      <c r="G32" s="7"/>
      <c r="H32" s="173"/>
      <c r="I32" s="173"/>
      <c r="J32" s="173"/>
      <c r="K32" s="374"/>
      <c r="L32" s="177"/>
    </row>
    <row r="33" spans="1:12" ht="6.75" customHeight="1" x14ac:dyDescent="0.3">
      <c r="A33" s="40"/>
      <c r="B33" s="31"/>
      <c r="C33" s="9"/>
      <c r="D33" s="9"/>
      <c r="E33" s="9"/>
      <c r="F33" s="9"/>
      <c r="G33" s="9"/>
      <c r="H33" s="9"/>
      <c r="I33" s="9"/>
      <c r="J33" s="9"/>
      <c r="K33" s="9"/>
      <c r="L33" s="19"/>
    </row>
    <row r="34" spans="1:12" x14ac:dyDescent="0.3">
      <c r="A34" s="45" t="s">
        <v>31</v>
      </c>
      <c r="B34" s="46"/>
      <c r="C34" s="34"/>
      <c r="D34" s="34"/>
      <c r="E34" s="194"/>
      <c r="F34" s="34"/>
      <c r="G34" s="34"/>
      <c r="H34" s="34"/>
      <c r="I34" s="34"/>
      <c r="J34" s="34"/>
      <c r="K34" s="34"/>
      <c r="L34" s="35"/>
    </row>
    <row r="35" spans="1:12" x14ac:dyDescent="0.3">
      <c r="A35" s="73" t="s">
        <v>37</v>
      </c>
      <c r="B35" s="69" t="s">
        <v>20</v>
      </c>
      <c r="C35" s="54">
        <v>4</v>
      </c>
      <c r="D35" s="54">
        <v>4</v>
      </c>
      <c r="E35" s="54">
        <v>4</v>
      </c>
      <c r="F35" s="54">
        <v>4</v>
      </c>
      <c r="G35" s="54">
        <v>5</v>
      </c>
      <c r="H35" s="56">
        <v>5</v>
      </c>
      <c r="I35" s="36">
        <v>5</v>
      </c>
      <c r="J35" s="36">
        <v>5</v>
      </c>
      <c r="K35" s="36">
        <v>5</v>
      </c>
      <c r="L35" s="36">
        <v>5</v>
      </c>
    </row>
    <row r="36" spans="1:12" x14ac:dyDescent="0.3">
      <c r="A36" s="73" t="s">
        <v>22</v>
      </c>
      <c r="B36" s="69" t="s">
        <v>20</v>
      </c>
      <c r="C36" s="60">
        <v>2</v>
      </c>
      <c r="D36" s="54">
        <v>2</v>
      </c>
      <c r="E36" s="54">
        <v>2</v>
      </c>
      <c r="F36" s="54">
        <v>2</v>
      </c>
      <c r="G36" s="54">
        <v>3</v>
      </c>
      <c r="H36" s="54">
        <v>3</v>
      </c>
      <c r="I36" s="36">
        <v>3</v>
      </c>
      <c r="J36" s="36">
        <v>3</v>
      </c>
      <c r="K36" s="36">
        <v>3</v>
      </c>
      <c r="L36" s="36">
        <v>4</v>
      </c>
    </row>
    <row r="37" spans="1:12" x14ac:dyDescent="0.3">
      <c r="A37" s="73" t="s">
        <v>33</v>
      </c>
      <c r="B37" s="72" t="s">
        <v>0</v>
      </c>
      <c r="C37" s="61">
        <f t="shared" ref="C37:I37" si="5">C36/C35</f>
        <v>0.5</v>
      </c>
      <c r="D37" s="53">
        <f t="shared" si="5"/>
        <v>0.5</v>
      </c>
      <c r="E37" s="53">
        <f t="shared" si="5"/>
        <v>0.5</v>
      </c>
      <c r="F37" s="53">
        <f t="shared" si="5"/>
        <v>0.5</v>
      </c>
      <c r="G37" s="53">
        <f t="shared" si="5"/>
        <v>0.6</v>
      </c>
      <c r="H37" s="66">
        <f t="shared" si="5"/>
        <v>0.6</v>
      </c>
      <c r="I37" s="66">
        <f t="shared" si="5"/>
        <v>0.6</v>
      </c>
      <c r="J37" s="66">
        <f t="shared" ref="J37:L37" si="6">J36/J35</f>
        <v>0.6</v>
      </c>
      <c r="K37" s="66">
        <f t="shared" si="6"/>
        <v>0.6</v>
      </c>
      <c r="L37" s="66">
        <f t="shared" si="6"/>
        <v>0.8</v>
      </c>
    </row>
    <row r="38" spans="1:12" x14ac:dyDescent="0.3">
      <c r="A38" s="77" t="s">
        <v>40</v>
      </c>
      <c r="B38" s="72" t="s">
        <v>19</v>
      </c>
      <c r="C38" s="54" t="s">
        <v>120</v>
      </c>
      <c r="D38" s="54" t="s">
        <v>120</v>
      </c>
      <c r="E38" s="54" t="s">
        <v>120</v>
      </c>
      <c r="F38" s="54" t="s">
        <v>119</v>
      </c>
      <c r="G38" s="54" t="s">
        <v>119</v>
      </c>
      <c r="H38" s="54" t="s">
        <v>119</v>
      </c>
      <c r="I38" s="54" t="s">
        <v>119</v>
      </c>
      <c r="J38" s="54" t="s">
        <v>119</v>
      </c>
      <c r="K38" s="54" t="s">
        <v>119</v>
      </c>
      <c r="L38" s="54" t="s">
        <v>120</v>
      </c>
    </row>
    <row r="39" spans="1:12" x14ac:dyDescent="0.3">
      <c r="A39" s="76" t="s">
        <v>134</v>
      </c>
      <c r="B39" s="197" t="s">
        <v>132</v>
      </c>
      <c r="C39" s="54">
        <v>2</v>
      </c>
      <c r="D39" s="54">
        <v>3</v>
      </c>
      <c r="E39" s="54">
        <v>3</v>
      </c>
      <c r="F39" s="54">
        <v>1</v>
      </c>
      <c r="G39" s="59">
        <v>8</v>
      </c>
      <c r="H39" s="54">
        <v>7</v>
      </c>
      <c r="I39" s="36">
        <v>8</v>
      </c>
      <c r="J39" s="36">
        <v>10</v>
      </c>
      <c r="K39" s="36">
        <v>8</v>
      </c>
      <c r="L39" s="36">
        <v>7</v>
      </c>
    </row>
    <row r="40" spans="1:12" x14ac:dyDescent="0.3">
      <c r="A40" s="45" t="s">
        <v>30</v>
      </c>
      <c r="B40" s="48"/>
      <c r="C40" s="34"/>
      <c r="D40" s="34"/>
      <c r="E40" s="194"/>
      <c r="F40" s="194"/>
      <c r="G40" s="34"/>
      <c r="H40" s="34"/>
      <c r="I40" s="34"/>
      <c r="J40" s="34"/>
      <c r="K40" s="34"/>
      <c r="L40" s="35"/>
    </row>
    <row r="41" spans="1:12" x14ac:dyDescent="0.3">
      <c r="A41" s="73" t="s">
        <v>37</v>
      </c>
      <c r="B41" s="198" t="s">
        <v>20</v>
      </c>
      <c r="C41" s="54">
        <v>5</v>
      </c>
      <c r="D41" s="54">
        <v>5</v>
      </c>
      <c r="E41" s="54">
        <v>5</v>
      </c>
      <c r="F41" s="54">
        <v>5</v>
      </c>
      <c r="G41" s="59">
        <v>5</v>
      </c>
      <c r="H41" s="54">
        <v>5</v>
      </c>
      <c r="I41" s="36">
        <v>5</v>
      </c>
      <c r="J41" s="36">
        <v>5</v>
      </c>
      <c r="K41" s="36">
        <v>5</v>
      </c>
      <c r="L41" s="36">
        <v>5</v>
      </c>
    </row>
    <row r="42" spans="1:12" x14ac:dyDescent="0.3">
      <c r="A42" s="73" t="s">
        <v>22</v>
      </c>
      <c r="B42" s="198" t="s">
        <v>20</v>
      </c>
      <c r="C42" s="54">
        <v>1</v>
      </c>
      <c r="D42" s="54">
        <v>2</v>
      </c>
      <c r="E42" s="54">
        <v>4</v>
      </c>
      <c r="F42" s="54">
        <v>1</v>
      </c>
      <c r="G42" s="59">
        <v>1</v>
      </c>
      <c r="H42" s="54">
        <v>2</v>
      </c>
      <c r="I42" s="36">
        <v>2</v>
      </c>
      <c r="J42" s="36">
        <v>2</v>
      </c>
      <c r="K42" s="36">
        <v>3</v>
      </c>
      <c r="L42" s="36">
        <v>3</v>
      </c>
    </row>
    <row r="43" spans="1:12" x14ac:dyDescent="0.3">
      <c r="A43" s="73" t="s">
        <v>33</v>
      </c>
      <c r="B43" s="199" t="s">
        <v>0</v>
      </c>
      <c r="C43" s="53">
        <f t="shared" ref="C43:I43" si="7">C42/C41</f>
        <v>0.2</v>
      </c>
      <c r="D43" s="53">
        <f t="shared" si="7"/>
        <v>0.4</v>
      </c>
      <c r="E43" s="53">
        <f t="shared" si="7"/>
        <v>0.8</v>
      </c>
      <c r="F43" s="53">
        <f t="shared" si="7"/>
        <v>0.2</v>
      </c>
      <c r="G43" s="58">
        <f t="shared" si="7"/>
        <v>0.2</v>
      </c>
      <c r="H43" s="66">
        <f t="shared" si="7"/>
        <v>0.4</v>
      </c>
      <c r="I43" s="66">
        <f t="shared" si="7"/>
        <v>0.4</v>
      </c>
      <c r="J43" s="66">
        <f t="shared" ref="J43:K43" si="8">J42/J41</f>
        <v>0.4</v>
      </c>
      <c r="K43" s="66">
        <f t="shared" si="8"/>
        <v>0.6</v>
      </c>
      <c r="L43" s="66">
        <f t="shared" ref="L43" si="9">L42/L41</f>
        <v>0.6</v>
      </c>
    </row>
    <row r="44" spans="1:12" x14ac:dyDescent="0.3">
      <c r="A44" s="77" t="s">
        <v>40</v>
      </c>
      <c r="B44" s="199" t="s">
        <v>19</v>
      </c>
      <c r="C44" s="54" t="s">
        <v>119</v>
      </c>
      <c r="D44" s="54" t="s">
        <v>120</v>
      </c>
      <c r="E44" s="54" t="s">
        <v>119</v>
      </c>
      <c r="F44" s="54" t="s">
        <v>119</v>
      </c>
      <c r="G44" s="54" t="s">
        <v>119</v>
      </c>
      <c r="H44" s="54" t="s">
        <v>119</v>
      </c>
      <c r="I44" s="54" t="s">
        <v>119</v>
      </c>
      <c r="J44" s="54" t="s">
        <v>119</v>
      </c>
      <c r="K44" s="54" t="s">
        <v>119</v>
      </c>
      <c r="L44" s="54" t="s">
        <v>119</v>
      </c>
    </row>
    <row r="45" spans="1:12" x14ac:dyDescent="0.3">
      <c r="A45" s="76" t="s">
        <v>134</v>
      </c>
      <c r="B45" s="197" t="s">
        <v>132</v>
      </c>
      <c r="C45" s="54" t="s">
        <v>4</v>
      </c>
      <c r="D45" s="54">
        <v>2</v>
      </c>
      <c r="E45" s="54">
        <v>2</v>
      </c>
      <c r="F45" s="54">
        <v>4</v>
      </c>
      <c r="G45" s="59">
        <v>5</v>
      </c>
      <c r="H45" s="54">
        <v>6</v>
      </c>
      <c r="I45" s="36">
        <v>7</v>
      </c>
      <c r="J45" s="36">
        <v>5</v>
      </c>
      <c r="K45" s="36">
        <v>4</v>
      </c>
      <c r="L45" s="36">
        <v>4</v>
      </c>
    </row>
    <row r="46" spans="1:12" x14ac:dyDescent="0.3">
      <c r="A46" s="45" t="s">
        <v>151</v>
      </c>
      <c r="B46" s="46"/>
      <c r="C46" s="189"/>
      <c r="D46" s="34"/>
      <c r="E46" s="194"/>
      <c r="F46" s="194"/>
      <c r="G46" s="34"/>
      <c r="H46" s="34"/>
      <c r="I46" s="34"/>
      <c r="J46" s="34"/>
      <c r="K46" s="34"/>
      <c r="L46" s="35"/>
    </row>
    <row r="47" spans="1:12" x14ac:dyDescent="0.3">
      <c r="A47" s="73" t="s">
        <v>37</v>
      </c>
      <c r="B47" s="69" t="s">
        <v>20</v>
      </c>
      <c r="C47" s="60">
        <v>4</v>
      </c>
      <c r="D47" s="54">
        <v>4</v>
      </c>
      <c r="E47" s="54">
        <v>4</v>
      </c>
      <c r="F47" s="54">
        <v>4</v>
      </c>
      <c r="G47" s="59">
        <v>4</v>
      </c>
      <c r="H47" s="56">
        <v>4</v>
      </c>
      <c r="I47" s="36">
        <v>5</v>
      </c>
      <c r="J47" s="36">
        <v>5</v>
      </c>
      <c r="K47" s="36">
        <v>5</v>
      </c>
      <c r="L47" s="36">
        <v>5</v>
      </c>
    </row>
    <row r="48" spans="1:12" x14ac:dyDescent="0.3">
      <c r="A48" s="73" t="s">
        <v>22</v>
      </c>
      <c r="B48" s="69" t="s">
        <v>20</v>
      </c>
      <c r="C48" s="60">
        <v>2</v>
      </c>
      <c r="D48" s="54">
        <v>3</v>
      </c>
      <c r="E48" s="54">
        <v>3</v>
      </c>
      <c r="F48" s="54">
        <v>2</v>
      </c>
      <c r="G48" s="59">
        <v>2</v>
      </c>
      <c r="H48" s="54">
        <v>2</v>
      </c>
      <c r="I48" s="36">
        <v>3</v>
      </c>
      <c r="J48" s="36">
        <v>3</v>
      </c>
      <c r="K48" s="36">
        <v>3</v>
      </c>
      <c r="L48" s="36">
        <v>3</v>
      </c>
    </row>
    <row r="49" spans="1:12" x14ac:dyDescent="0.3">
      <c r="A49" s="73" t="s">
        <v>33</v>
      </c>
      <c r="B49" s="72" t="s">
        <v>0</v>
      </c>
      <c r="C49" s="61">
        <f t="shared" ref="C49:I49" si="10">C48/C47</f>
        <v>0.5</v>
      </c>
      <c r="D49" s="53">
        <f t="shared" si="10"/>
        <v>0.75</v>
      </c>
      <c r="E49" s="53">
        <f t="shared" si="10"/>
        <v>0.75</v>
      </c>
      <c r="F49" s="66">
        <f t="shared" si="10"/>
        <v>0.5</v>
      </c>
      <c r="G49" s="58">
        <f t="shared" si="10"/>
        <v>0.5</v>
      </c>
      <c r="H49" s="66">
        <f t="shared" si="10"/>
        <v>0.5</v>
      </c>
      <c r="I49" s="66">
        <f t="shared" si="10"/>
        <v>0.6</v>
      </c>
      <c r="J49" s="66">
        <f t="shared" ref="J49:L49" si="11">J48/J47</f>
        <v>0.6</v>
      </c>
      <c r="K49" s="66">
        <f t="shared" si="11"/>
        <v>0.6</v>
      </c>
      <c r="L49" s="66">
        <f t="shared" si="11"/>
        <v>0.6</v>
      </c>
    </row>
    <row r="50" spans="1:12" x14ac:dyDescent="0.3">
      <c r="A50" s="77" t="s">
        <v>40</v>
      </c>
      <c r="B50" s="199" t="s">
        <v>19</v>
      </c>
      <c r="C50" s="53" t="s">
        <v>120</v>
      </c>
      <c r="D50" s="53" t="s">
        <v>120</v>
      </c>
      <c r="E50" s="53" t="s">
        <v>120</v>
      </c>
      <c r="F50" s="53" t="s">
        <v>120</v>
      </c>
      <c r="G50" s="53" t="s">
        <v>120</v>
      </c>
      <c r="H50" s="53" t="s">
        <v>120</v>
      </c>
      <c r="I50" s="53" t="s">
        <v>120</v>
      </c>
      <c r="J50" s="53" t="s">
        <v>120</v>
      </c>
      <c r="K50" s="53" t="s">
        <v>120</v>
      </c>
      <c r="L50" s="53" t="s">
        <v>120</v>
      </c>
    </row>
    <row r="51" spans="1:12" x14ac:dyDescent="0.3">
      <c r="A51" s="76" t="s">
        <v>134</v>
      </c>
      <c r="B51" s="197" t="s">
        <v>132</v>
      </c>
      <c r="C51" s="54" t="s">
        <v>4</v>
      </c>
      <c r="D51" s="54" t="s">
        <v>4</v>
      </c>
      <c r="E51" s="54">
        <v>1</v>
      </c>
      <c r="F51" s="54">
        <v>1</v>
      </c>
      <c r="G51" s="59">
        <v>3</v>
      </c>
      <c r="H51" s="54">
        <v>9</v>
      </c>
      <c r="I51" s="36">
        <v>10</v>
      </c>
      <c r="J51" s="36">
        <v>10</v>
      </c>
      <c r="K51" s="36">
        <v>18</v>
      </c>
      <c r="L51" s="36">
        <v>8</v>
      </c>
    </row>
    <row r="52" spans="1:12" x14ac:dyDescent="0.3">
      <c r="A52" s="45" t="s">
        <v>32</v>
      </c>
      <c r="B52" s="48"/>
      <c r="C52" s="34"/>
      <c r="D52" s="34"/>
      <c r="E52" s="194"/>
      <c r="F52" s="194"/>
      <c r="G52" s="34"/>
      <c r="H52" s="34"/>
      <c r="I52" s="34"/>
      <c r="J52" s="34"/>
      <c r="K52" s="34"/>
      <c r="L52" s="35"/>
    </row>
    <row r="53" spans="1:12" x14ac:dyDescent="0.3">
      <c r="A53" s="73" t="s">
        <v>37</v>
      </c>
      <c r="B53" s="198" t="s">
        <v>20</v>
      </c>
      <c r="C53" s="54">
        <v>3</v>
      </c>
      <c r="D53" s="54">
        <v>3</v>
      </c>
      <c r="E53" s="54">
        <v>3</v>
      </c>
      <c r="F53" s="54">
        <v>3</v>
      </c>
      <c r="G53" s="59">
        <v>4</v>
      </c>
      <c r="H53" s="56">
        <v>4</v>
      </c>
      <c r="I53" s="36">
        <v>5</v>
      </c>
      <c r="J53" s="36">
        <v>5</v>
      </c>
      <c r="K53" s="36">
        <v>5</v>
      </c>
      <c r="L53" s="36">
        <v>5</v>
      </c>
    </row>
    <row r="54" spans="1:12" x14ac:dyDescent="0.3">
      <c r="A54" s="73" t="s">
        <v>22</v>
      </c>
      <c r="B54" s="198" t="s">
        <v>20</v>
      </c>
      <c r="C54" s="54">
        <v>1</v>
      </c>
      <c r="D54" s="54">
        <v>1</v>
      </c>
      <c r="E54" s="54">
        <v>1</v>
      </c>
      <c r="F54" s="54">
        <v>1</v>
      </c>
      <c r="G54" s="59">
        <v>2</v>
      </c>
      <c r="H54" s="54">
        <v>2</v>
      </c>
      <c r="I54" s="36">
        <v>3</v>
      </c>
      <c r="J54" s="36">
        <v>3</v>
      </c>
      <c r="K54" s="36">
        <v>3</v>
      </c>
      <c r="L54" s="36">
        <v>3</v>
      </c>
    </row>
    <row r="55" spans="1:12" x14ac:dyDescent="0.3">
      <c r="A55" s="73" t="s">
        <v>33</v>
      </c>
      <c r="B55" s="199" t="s">
        <v>0</v>
      </c>
      <c r="C55" s="53">
        <f t="shared" ref="C55:I55" si="12">C54/C53</f>
        <v>0.33333333333333331</v>
      </c>
      <c r="D55" s="53">
        <f t="shared" si="12"/>
        <v>0.33333333333333331</v>
      </c>
      <c r="E55" s="53">
        <f t="shared" si="12"/>
        <v>0.33333333333333331</v>
      </c>
      <c r="F55" s="53">
        <f t="shared" si="12"/>
        <v>0.33333333333333331</v>
      </c>
      <c r="G55" s="58">
        <f t="shared" si="12"/>
        <v>0.5</v>
      </c>
      <c r="H55" s="66">
        <f t="shared" si="12"/>
        <v>0.5</v>
      </c>
      <c r="I55" s="66">
        <f t="shared" si="12"/>
        <v>0.6</v>
      </c>
      <c r="J55" s="66">
        <f t="shared" ref="J55:L55" si="13">J54/J53</f>
        <v>0.6</v>
      </c>
      <c r="K55" s="66">
        <f t="shared" si="13"/>
        <v>0.6</v>
      </c>
      <c r="L55" s="66">
        <f t="shared" si="13"/>
        <v>0.6</v>
      </c>
    </row>
    <row r="56" spans="1:12" x14ac:dyDescent="0.3">
      <c r="A56" s="77" t="s">
        <v>40</v>
      </c>
      <c r="B56" s="199" t="s">
        <v>19</v>
      </c>
      <c r="C56" s="54" t="s">
        <v>119</v>
      </c>
      <c r="D56" s="54" t="s">
        <v>119</v>
      </c>
      <c r="E56" s="53" t="s">
        <v>120</v>
      </c>
      <c r="F56" s="53" t="s">
        <v>120</v>
      </c>
      <c r="G56" s="53" t="s">
        <v>120</v>
      </c>
      <c r="H56" s="53" t="s">
        <v>120</v>
      </c>
      <c r="I56" s="53" t="s">
        <v>120</v>
      </c>
      <c r="J56" s="53" t="s">
        <v>120</v>
      </c>
      <c r="K56" s="53" t="s">
        <v>120</v>
      </c>
      <c r="L56" s="53" t="s">
        <v>120</v>
      </c>
    </row>
    <row r="57" spans="1:12" x14ac:dyDescent="0.3">
      <c r="A57" s="76" t="s">
        <v>134</v>
      </c>
      <c r="B57" s="71" t="s">
        <v>132</v>
      </c>
      <c r="C57" s="54" t="s">
        <v>4</v>
      </c>
      <c r="D57" s="54">
        <v>2</v>
      </c>
      <c r="E57" s="54">
        <v>10</v>
      </c>
      <c r="F57" s="54">
        <v>6</v>
      </c>
      <c r="G57" s="54">
        <v>11</v>
      </c>
      <c r="H57" s="54">
        <v>9</v>
      </c>
      <c r="I57" s="36">
        <v>8</v>
      </c>
      <c r="J57" s="36">
        <v>15</v>
      </c>
      <c r="K57" s="36">
        <v>12</v>
      </c>
      <c r="L57" s="36">
        <v>10</v>
      </c>
    </row>
    <row r="58" spans="1:12" ht="15" x14ac:dyDescent="0.3">
      <c r="A58" s="62" t="s">
        <v>182</v>
      </c>
      <c r="B58" s="178"/>
      <c r="C58" s="7"/>
      <c r="D58" s="7"/>
      <c r="E58" s="7"/>
      <c r="F58" s="7"/>
      <c r="G58" s="173"/>
      <c r="H58" s="173"/>
      <c r="I58" s="173"/>
      <c r="J58" s="173"/>
      <c r="K58" s="374"/>
      <c r="L58" s="375"/>
    </row>
    <row r="59" spans="1:12" x14ac:dyDescent="0.3">
      <c r="A59" s="73" t="s">
        <v>136</v>
      </c>
      <c r="B59" s="69" t="s">
        <v>20</v>
      </c>
      <c r="C59" s="22">
        <v>7</v>
      </c>
      <c r="D59" s="39">
        <v>7</v>
      </c>
      <c r="E59" s="39">
        <v>6</v>
      </c>
      <c r="F59" s="39">
        <v>11</v>
      </c>
      <c r="G59" s="22">
        <v>13</v>
      </c>
      <c r="H59" s="22">
        <v>13</v>
      </c>
      <c r="I59" s="38">
        <v>13</v>
      </c>
      <c r="J59" s="38">
        <v>13</v>
      </c>
      <c r="K59" s="38">
        <v>13</v>
      </c>
      <c r="L59" s="38">
        <v>12</v>
      </c>
    </row>
    <row r="60" spans="1:12" x14ac:dyDescent="0.3">
      <c r="A60" s="73" t="s">
        <v>137</v>
      </c>
      <c r="B60" s="69" t="s">
        <v>20</v>
      </c>
      <c r="C60" s="22">
        <v>0</v>
      </c>
      <c r="D60" s="39">
        <v>0</v>
      </c>
      <c r="E60" s="39">
        <v>1</v>
      </c>
      <c r="F60" s="39">
        <v>3</v>
      </c>
      <c r="G60" s="22">
        <v>4</v>
      </c>
      <c r="H60" s="22">
        <v>4</v>
      </c>
      <c r="I60" s="38">
        <v>5</v>
      </c>
      <c r="J60" s="38">
        <v>5</v>
      </c>
      <c r="K60" s="38">
        <v>4</v>
      </c>
      <c r="L60" s="38">
        <v>4</v>
      </c>
    </row>
    <row r="61" spans="1:12" x14ac:dyDescent="0.3">
      <c r="A61" s="104" t="s">
        <v>135</v>
      </c>
      <c r="B61" s="105" t="s">
        <v>132</v>
      </c>
      <c r="C61" s="106">
        <v>56</v>
      </c>
      <c r="D61" s="107">
        <v>58</v>
      </c>
      <c r="E61" s="107">
        <v>51</v>
      </c>
      <c r="F61" s="107">
        <v>45</v>
      </c>
      <c r="G61" s="22">
        <v>37</v>
      </c>
      <c r="H61" s="22">
        <v>44</v>
      </c>
      <c r="I61" s="38">
        <v>38</v>
      </c>
      <c r="J61" s="38">
        <v>36</v>
      </c>
      <c r="K61" s="38">
        <v>32</v>
      </c>
      <c r="L61" s="38">
        <v>22</v>
      </c>
    </row>
    <row r="62" spans="1:12" x14ac:dyDescent="0.3">
      <c r="A62" s="62" t="s">
        <v>141</v>
      </c>
      <c r="B62" s="178"/>
      <c r="C62" s="7"/>
      <c r="D62" s="7"/>
      <c r="E62" s="7"/>
      <c r="F62" s="7"/>
      <c r="G62" s="173"/>
      <c r="H62" s="173"/>
      <c r="I62" s="173"/>
      <c r="J62" s="173"/>
      <c r="K62" s="374"/>
      <c r="L62" s="375"/>
    </row>
    <row r="63" spans="1:12" ht="15" x14ac:dyDescent="0.3">
      <c r="A63" s="111" t="s">
        <v>258</v>
      </c>
      <c r="B63" s="97" t="s">
        <v>140</v>
      </c>
      <c r="C63" s="112">
        <v>5200.7480408297661</v>
      </c>
      <c r="D63" s="113">
        <v>5166.7142565498471</v>
      </c>
      <c r="E63" s="113">
        <v>4936.7476570289136</v>
      </c>
      <c r="F63" s="113">
        <v>3913.9547224315502</v>
      </c>
      <c r="G63" s="113">
        <v>3188.0629956508951</v>
      </c>
      <c r="H63" s="113">
        <v>2186.8371449803881</v>
      </c>
      <c r="I63" s="113">
        <v>1821.8868082148256</v>
      </c>
      <c r="J63" s="113">
        <v>4227</v>
      </c>
      <c r="K63" s="113">
        <v>3500</v>
      </c>
      <c r="L63" s="113">
        <v>3100</v>
      </c>
    </row>
    <row r="64" spans="1:12" x14ac:dyDescent="0.3">
      <c r="A64" s="373" t="s">
        <v>139</v>
      </c>
      <c r="B64" s="114" t="s">
        <v>0</v>
      </c>
      <c r="C64" s="115" t="s">
        <v>2</v>
      </c>
      <c r="D64" s="116" t="s">
        <v>2</v>
      </c>
      <c r="E64" s="116" t="s">
        <v>2</v>
      </c>
      <c r="F64" s="116" t="s">
        <v>2</v>
      </c>
      <c r="G64" s="116" t="s">
        <v>2</v>
      </c>
      <c r="H64" s="116" t="s">
        <v>2</v>
      </c>
      <c r="I64" s="117">
        <v>0.15</v>
      </c>
      <c r="J64" s="117">
        <v>0.24</v>
      </c>
      <c r="K64" s="117">
        <v>0.55000000000000004</v>
      </c>
      <c r="L64" s="117">
        <v>0.38</v>
      </c>
    </row>
    <row r="65" spans="1:12" x14ac:dyDescent="0.3">
      <c r="A65" s="47" t="s">
        <v>218</v>
      </c>
      <c r="B65" s="178"/>
      <c r="C65" s="93"/>
      <c r="D65" s="173"/>
      <c r="E65" s="173"/>
      <c r="F65" s="173"/>
      <c r="G65" s="173"/>
      <c r="H65" s="173"/>
      <c r="I65" s="173"/>
      <c r="J65" s="173"/>
      <c r="K65" s="374"/>
      <c r="L65" s="375"/>
    </row>
    <row r="66" spans="1:12" x14ac:dyDescent="0.3">
      <c r="A66" s="125" t="s">
        <v>18</v>
      </c>
      <c r="B66" s="94" t="s">
        <v>12</v>
      </c>
      <c r="C66" s="96">
        <v>30.37</v>
      </c>
      <c r="D66" s="123">
        <v>29.39</v>
      </c>
      <c r="E66" s="123">
        <v>31.093</v>
      </c>
      <c r="F66" s="123">
        <v>31.847999999999999</v>
      </c>
      <c r="G66" s="123">
        <v>38.421700000000001</v>
      </c>
      <c r="H66" s="123">
        <v>60.957900000000002</v>
      </c>
      <c r="I66" s="123">
        <v>67.034899999999993</v>
      </c>
      <c r="J66" s="123">
        <v>58.352899999999998</v>
      </c>
      <c r="K66" s="123">
        <v>62.707799999999999</v>
      </c>
      <c r="L66" s="123">
        <v>64.736199999999997</v>
      </c>
    </row>
    <row r="67" spans="1:12" x14ac:dyDescent="0.3">
      <c r="A67" s="108"/>
      <c r="B67" s="109"/>
      <c r="C67" s="110"/>
      <c r="D67" s="110"/>
      <c r="E67" s="110"/>
      <c r="F67" s="110"/>
      <c r="G67" s="110"/>
      <c r="H67" s="110"/>
      <c r="I67" s="49"/>
    </row>
    <row r="68" spans="1:12" s="210" customFormat="1" ht="12" x14ac:dyDescent="0.25">
      <c r="A68" s="221" t="s">
        <v>41</v>
      </c>
      <c r="B68" s="222"/>
      <c r="C68" s="223"/>
      <c r="D68" s="223"/>
      <c r="E68" s="223"/>
      <c r="F68" s="223"/>
      <c r="G68" s="223"/>
      <c r="H68" s="223"/>
      <c r="I68" s="224"/>
      <c r="J68" s="225"/>
      <c r="K68" s="225"/>
      <c r="L68" s="225"/>
    </row>
    <row r="69" spans="1:12" s="210" customFormat="1" ht="13.2" x14ac:dyDescent="0.25">
      <c r="A69" s="226" t="s">
        <v>196</v>
      </c>
      <c r="B69" s="222"/>
      <c r="C69" s="223"/>
      <c r="D69" s="223"/>
      <c r="E69" s="223"/>
      <c r="F69" s="223"/>
      <c r="G69" s="223"/>
      <c r="H69" s="223"/>
      <c r="I69" s="224"/>
      <c r="J69" s="225"/>
      <c r="K69" s="225"/>
      <c r="L69" s="225"/>
    </row>
    <row r="70" spans="1:12" s="210" customFormat="1" ht="13.2" x14ac:dyDescent="0.25">
      <c r="A70" s="214" t="s">
        <v>250</v>
      </c>
      <c r="B70" s="222"/>
      <c r="C70" s="223"/>
      <c r="D70" s="223"/>
      <c r="E70" s="223"/>
      <c r="F70" s="223"/>
      <c r="G70" s="223"/>
      <c r="H70" s="223"/>
      <c r="I70" s="224"/>
      <c r="J70" s="225"/>
      <c r="K70" s="225"/>
      <c r="L70" s="225"/>
    </row>
    <row r="71" spans="1:12" x14ac:dyDescent="0.3">
      <c r="A71" s="158"/>
      <c r="B71" s="109"/>
      <c r="C71" s="110"/>
      <c r="D71" s="110"/>
      <c r="E71" s="110"/>
      <c r="F71" s="110"/>
      <c r="G71" s="110"/>
      <c r="H71" s="110"/>
      <c r="I71" s="49"/>
    </row>
    <row r="72" spans="1:12" x14ac:dyDescent="0.3">
      <c r="A72" s="153" t="s">
        <v>138</v>
      </c>
      <c r="B72" s="426"/>
      <c r="C72" s="426"/>
      <c r="D72" s="426"/>
      <c r="E72" s="426"/>
      <c r="F72" s="426"/>
      <c r="G72" s="426"/>
      <c r="H72" s="426"/>
      <c r="I72" s="426"/>
      <c r="J72" s="124"/>
      <c r="K72" s="124"/>
      <c r="L72" s="124"/>
    </row>
    <row r="73" spans="1:12" x14ac:dyDescent="0.3">
      <c r="A73" s="170" t="s">
        <v>73</v>
      </c>
      <c r="B73" s="427"/>
      <c r="C73" s="426"/>
      <c r="D73" s="426"/>
      <c r="E73" s="426"/>
      <c r="F73" s="426"/>
      <c r="G73" s="426"/>
      <c r="H73" s="426"/>
      <c r="I73" s="426"/>
      <c r="J73" s="24"/>
      <c r="K73" s="24"/>
      <c r="L73" s="24"/>
    </row>
    <row r="74" spans="1:12" x14ac:dyDescent="0.3">
      <c r="A74" s="170" t="s">
        <v>80</v>
      </c>
      <c r="B74" s="428"/>
      <c r="C74" s="429"/>
      <c r="D74" s="429"/>
      <c r="E74" s="429"/>
      <c r="F74" s="429"/>
      <c r="G74" s="429"/>
      <c r="H74" s="429"/>
      <c r="I74" s="429"/>
      <c r="J74" s="24"/>
      <c r="K74" s="24"/>
      <c r="L74" s="24"/>
    </row>
    <row r="75" spans="1:12" x14ac:dyDescent="0.3">
      <c r="A75" s="170" t="s">
        <v>75</v>
      </c>
      <c r="B75" s="427"/>
      <c r="C75" s="426"/>
      <c r="D75" s="426"/>
      <c r="E75" s="426"/>
      <c r="F75" s="426"/>
      <c r="G75" s="426"/>
      <c r="H75" s="426"/>
      <c r="I75" s="426"/>
      <c r="J75" s="24"/>
      <c r="K75" s="24"/>
      <c r="L75" s="24"/>
    </row>
    <row r="76" spans="1:12" x14ac:dyDescent="0.3">
      <c r="A76" s="170" t="s">
        <v>76</v>
      </c>
      <c r="B76" s="427"/>
      <c r="C76" s="427"/>
      <c r="D76" s="427"/>
      <c r="E76" s="427"/>
      <c r="F76" s="427"/>
      <c r="G76" s="427"/>
      <c r="H76" s="427"/>
      <c r="I76" s="427"/>
      <c r="J76" s="24"/>
      <c r="K76" s="24"/>
      <c r="L76" s="24"/>
    </row>
    <row r="77" spans="1:12" x14ac:dyDescent="0.3">
      <c r="A77" s="170" t="s">
        <v>77</v>
      </c>
      <c r="B77" s="427"/>
      <c r="C77" s="426"/>
      <c r="D77" s="426"/>
      <c r="E77" s="426"/>
      <c r="F77" s="426"/>
      <c r="G77" s="426"/>
      <c r="H77" s="426"/>
      <c r="I77" s="426"/>
      <c r="J77" s="24"/>
      <c r="K77" s="24"/>
      <c r="L77" s="24"/>
    </row>
    <row r="78" spans="1:12" x14ac:dyDescent="0.3">
      <c r="A78" s="170" t="s">
        <v>81</v>
      </c>
      <c r="B78" s="427"/>
      <c r="C78" s="427"/>
      <c r="D78" s="427"/>
      <c r="E78" s="427"/>
      <c r="F78" s="427"/>
      <c r="G78" s="427"/>
      <c r="H78" s="427"/>
      <c r="I78" s="427"/>
      <c r="J78" s="24"/>
      <c r="K78" s="24"/>
      <c r="L78" s="24"/>
    </row>
    <row r="79" spans="1:12" x14ac:dyDescent="0.3">
      <c r="A79" s="170" t="s">
        <v>82</v>
      </c>
      <c r="B79" s="427"/>
      <c r="C79" s="426"/>
      <c r="D79" s="426"/>
      <c r="E79" s="426"/>
      <c r="F79" s="426"/>
      <c r="G79" s="426"/>
      <c r="H79" s="426"/>
      <c r="I79" s="426"/>
    </row>
    <row r="80" spans="1:12" x14ac:dyDescent="0.3">
      <c r="A80" s="170" t="s">
        <v>83</v>
      </c>
      <c r="B80" s="427"/>
      <c r="C80" s="426"/>
      <c r="D80" s="426"/>
      <c r="E80" s="426"/>
      <c r="F80" s="426"/>
      <c r="G80" s="426"/>
      <c r="H80" s="426"/>
      <c r="I80" s="426"/>
      <c r="J80" s="24"/>
      <c r="K80" s="24"/>
      <c r="L80" s="24"/>
    </row>
    <row r="81" spans="1:12" x14ac:dyDescent="0.3">
      <c r="A81" s="170" t="s">
        <v>79</v>
      </c>
      <c r="B81" s="427"/>
      <c r="C81" s="426"/>
      <c r="D81" s="426"/>
      <c r="E81" s="426"/>
      <c r="F81" s="426"/>
      <c r="G81" s="426"/>
      <c r="H81" s="426"/>
      <c r="I81" s="426"/>
      <c r="J81" s="24"/>
      <c r="K81" s="24"/>
      <c r="L81" s="24"/>
    </row>
    <row r="82" spans="1:12" x14ac:dyDescent="0.3">
      <c r="A82" s="170" t="s">
        <v>142</v>
      </c>
      <c r="B82" s="433"/>
      <c r="C82" s="433"/>
      <c r="D82" s="433"/>
      <c r="E82" s="433"/>
      <c r="F82" s="433"/>
      <c r="G82" s="433"/>
      <c r="H82" s="433"/>
      <c r="I82" s="433"/>
      <c r="J82" s="24"/>
      <c r="K82" s="24"/>
      <c r="L82" s="24"/>
    </row>
    <row r="83" spans="1:12" x14ac:dyDescent="0.3">
      <c r="A83" s="434" t="s">
        <v>115</v>
      </c>
      <c r="B83" s="434"/>
      <c r="C83" s="152"/>
      <c r="D83" s="152"/>
      <c r="E83" s="152"/>
      <c r="F83" s="152"/>
      <c r="G83" s="152"/>
      <c r="H83" s="152"/>
      <c r="I83" s="152"/>
      <c r="J83" s="24"/>
      <c r="K83" s="24"/>
      <c r="L83" s="24"/>
    </row>
    <row r="84" spans="1:12" x14ac:dyDescent="0.3">
      <c r="A84" s="170" t="s">
        <v>78</v>
      </c>
      <c r="B84" s="427"/>
      <c r="C84" s="426"/>
      <c r="D84" s="426"/>
      <c r="E84" s="426"/>
      <c r="F84" s="426"/>
      <c r="G84" s="426"/>
      <c r="H84" s="426"/>
      <c r="I84" s="426"/>
    </row>
    <row r="85" spans="1:12" x14ac:dyDescent="0.3">
      <c r="A85" s="171" t="s">
        <v>84</v>
      </c>
      <c r="B85" s="427"/>
      <c r="C85" s="431"/>
      <c r="D85" s="431"/>
      <c r="E85" s="431"/>
      <c r="F85" s="431"/>
      <c r="G85" s="431"/>
      <c r="H85" s="431"/>
      <c r="I85" s="431"/>
    </row>
    <row r="86" spans="1:12" x14ac:dyDescent="0.3">
      <c r="A86" s="170" t="s">
        <v>85</v>
      </c>
      <c r="B86" s="428"/>
      <c r="C86" s="432"/>
      <c r="D86" s="432"/>
      <c r="E86" s="432"/>
      <c r="F86" s="432"/>
      <c r="G86" s="432"/>
      <c r="H86" s="432"/>
      <c r="I86" s="432"/>
    </row>
    <row r="87" spans="1:12" x14ac:dyDescent="0.3">
      <c r="A87" s="172" t="s">
        <v>143</v>
      </c>
      <c r="B87" s="427"/>
      <c r="C87" s="430"/>
      <c r="D87" s="430"/>
      <c r="E87" s="430"/>
      <c r="F87" s="430"/>
      <c r="G87" s="430"/>
      <c r="H87" s="430"/>
      <c r="I87" s="430"/>
    </row>
    <row r="88" spans="1:12" x14ac:dyDescent="0.3">
      <c r="A88" s="169"/>
      <c r="B88" s="108"/>
      <c r="C88" s="108"/>
      <c r="D88" s="108"/>
      <c r="E88" s="108"/>
      <c r="F88" s="108"/>
      <c r="G88" s="108"/>
      <c r="H88" s="108"/>
      <c r="I88" s="108"/>
    </row>
    <row r="89" spans="1:12" x14ac:dyDescent="0.3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s="99" customFormat="1" x14ac:dyDescent="0.3"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</row>
    <row r="91" spans="1:12" s="99" customFormat="1" x14ac:dyDescent="0.3">
      <c r="B91" s="167"/>
      <c r="C91" s="168"/>
      <c r="D91" s="168"/>
      <c r="E91" s="168"/>
      <c r="F91" s="168"/>
      <c r="G91" s="168"/>
      <c r="H91" s="168"/>
      <c r="I91" s="167"/>
      <c r="J91" s="167"/>
      <c r="K91" s="167"/>
      <c r="L91" s="167"/>
    </row>
  </sheetData>
  <mergeCells count="28">
    <mergeCell ref="L1:L3"/>
    <mergeCell ref="K1:K3"/>
    <mergeCell ref="B1:B3"/>
    <mergeCell ref="J1:J3"/>
    <mergeCell ref="I1:I3"/>
    <mergeCell ref="H1:H3"/>
    <mergeCell ref="G1:G3"/>
    <mergeCell ref="B72:I72"/>
    <mergeCell ref="B73:I73"/>
    <mergeCell ref="B74:I74"/>
    <mergeCell ref="B75:I75"/>
    <mergeCell ref="B87:I87"/>
    <mergeCell ref="B76:I76"/>
    <mergeCell ref="B78:I78"/>
    <mergeCell ref="B85:I85"/>
    <mergeCell ref="B86:I86"/>
    <mergeCell ref="B81:I81"/>
    <mergeCell ref="B77:I77"/>
    <mergeCell ref="B79:I79"/>
    <mergeCell ref="B80:I80"/>
    <mergeCell ref="B84:I84"/>
    <mergeCell ref="B82:I82"/>
    <mergeCell ref="A83:B83"/>
    <mergeCell ref="A1:A3"/>
    <mergeCell ref="C1:C3"/>
    <mergeCell ref="D1:D3"/>
    <mergeCell ref="E1:E3"/>
    <mergeCell ref="F1:F3"/>
  </mergeCells>
  <hyperlinks>
    <hyperlink ref="A73" r:id="rId1"/>
    <hyperlink ref="A74" r:id="rId2"/>
    <hyperlink ref="A75" r:id="rId3"/>
    <hyperlink ref="A76" r:id="rId4"/>
    <hyperlink ref="A77" r:id="rId5"/>
    <hyperlink ref="A78" r:id="rId6"/>
    <hyperlink ref="A79" r:id="rId7"/>
    <hyperlink ref="A80" r:id="rId8"/>
    <hyperlink ref="A81" r:id="rId9"/>
    <hyperlink ref="A82" r:id="rId10"/>
    <hyperlink ref="A83" r:id="rId11"/>
    <hyperlink ref="A84" r:id="rId12"/>
    <hyperlink ref="A85" r:id="rId13"/>
    <hyperlink ref="A86" r:id="rId14"/>
    <hyperlink ref="A87" r:id="rId15"/>
  </hyperlinks>
  <pageMargins left="0.25" right="0.25" top="0.75" bottom="0.75" header="0.3" footer="0.3"/>
  <pageSetup paperSize="9" scale="58" orientation="portrait"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884983B-CEE7-46DC-8DE6-4E71E73D8A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1FDB9B-0F45-4739-BAB4-D26ED936B46A}">
  <ds:schemaRefs>
    <ds:schemaRef ds:uri="http://schemas.microsoft.com/office/infopath/2007/PartnerControls"/>
    <ds:schemaRef ds:uri="http://schemas.microsoft.com/office/2006/metadata/properties"/>
    <ds:schemaRef ds:uri="2e6c4e6a-6d57-47d6-9288-076169c1f698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566946-93EE-47A1-8911-AC4C875B3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A279FCB-5F55-4740-BB85-09B9D214F1D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MENU</vt:lpstr>
      <vt:lpstr>ENVIRONMENT</vt:lpstr>
      <vt:lpstr>SOCIAL</vt:lpstr>
      <vt:lpstr>GOVERNANCE</vt:lpstr>
      <vt:lpstr>ENVIRONMENT!Область_печати</vt:lpstr>
      <vt:lpstr>GOVERNANCE!Область_печати</vt:lpstr>
      <vt:lpstr>MENU!Область_печати</vt:lpstr>
      <vt:lpstr>SOCIAL!Область_печати</vt:lpstr>
    </vt:vector>
  </TitlesOfParts>
  <Company>ПАО "ГМК "Норильский никель"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AlekseenkoVV@nornik.ru</dc:creator>
  <cp:lastModifiedBy>Алексеенко Валерия Валерьевна</cp:lastModifiedBy>
  <cp:lastPrinted>2017-11-27T11:44:17Z</cp:lastPrinted>
  <dcterms:created xsi:type="dcterms:W3CDTF">2016-12-15T13:22:24Z</dcterms:created>
  <dcterms:modified xsi:type="dcterms:W3CDTF">2020-05-14T11:42:56Z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