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Документы департамента\ESG\Показатели по ESG\"/>
    </mc:Choice>
  </mc:AlternateContent>
  <bookViews>
    <workbookView xWindow="-120" yWindow="-120" windowWidth="29040" windowHeight="15840" tabRatio="326"/>
  </bookViews>
  <sheets>
    <sheet name="MENU" sheetId="4" r:id="rId1"/>
    <sheet name="ENVIRONMENT" sheetId="5" r:id="rId2"/>
    <sheet name="SOCIAL" sheetId="2" r:id="rId3"/>
    <sheet name="GOVERNANCE" sheetId="6" r:id="rId4"/>
  </sheets>
  <externalReferences>
    <externalReference r:id="rId5"/>
    <externalReference r:id="rId6"/>
    <externalReference r:id="rId7"/>
    <externalReference r:id="rId8"/>
  </externalReferences>
  <definedNames>
    <definedName name="__123Graph_A" hidden="1">[1]Assum!$B$12:$B$18</definedName>
    <definedName name="__123Graph_B" hidden="1">[1]Assum!$C$12:$C$18</definedName>
    <definedName name="__123Graph_C" hidden="1">[1]Assum!$D$12:$D$18</definedName>
    <definedName name="__123Graph_D" hidden="1">[1]Assum!$E$12:$E$18</definedName>
    <definedName name="__123Graph_E" hidden="1">[1]Assum!$F$12:$F$18</definedName>
    <definedName name="__FDS_HYPERLINK_TOGGLE_STATE__" hidden="1">"ON"</definedName>
    <definedName name="_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_xlfn.BAHTTEXT" hidden="1">#NAME?</definedName>
    <definedName name="_Sort" localSheetId="0" hidden="1">#REF!</definedName>
    <definedName name="_Sort" hidden="1">#REF!</definedName>
    <definedName name="_ww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23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ww3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_FilterDatabase" localSheetId="0" hidden="1">#REF!</definedName>
    <definedName name="_xlnm._FilterDatabase" hidden="1">#REF!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c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bc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ACwvu.summary1." hidden="1">[2]Comps!$A$1:$AA$49</definedName>
    <definedName name="ACwvu.summary2." hidden="1">[2]Comps!$A$147:$AA$192</definedName>
    <definedName name="ACwvu.summary3." hidden="1">[2]Comps!$A$103:$AA$146</definedName>
    <definedName name="All" localSheetId="0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ll" hidden="1">{#N/A,#N/A,TRUE,"Cover";#N/A,#N/A,TRUE,"Macro Assumptions";#N/A,#N/A,TRUE,"P&amp;L";#N/A,#N/A,TRUE,"BS";#N/A,#N/A,TRUE,"Tariffs DTe";#N/A,#N/A,TRUE,"Revenues";#N/A,#N/A,TRUE,"System Services";#N/A,#N/A,TRUE,"TPA";#N/A,#N/A,TRUE,"Opex 1";#N/A,#N/A,TRUE,"Opex";#N/A,#N/A,TRUE,"Assumptions";#N/A,#N/A,TRUE,"Depreciation";#N/A,#N/A,TRUE,"Capital Expenditures";#N/A,#N/A,TRUE,"WACC_DTe";#N/A,#N/A,TRUE,"WACC";#N/A,#N/A,TRUE,"DCF EBITDA Multiple";#N/A,#N/A,TRUE,"DCF Perpetual Growth";#N/A,#N/A,TRUE,"TComps";#N/A,#N/A,TRUE,"AComps"}</definedName>
    <definedName name="anscount" hidden="1">1</definedName>
    <definedName name="as" localSheetId="0" hidden="1">{"FCB_ALL",#N/A,FALSE,"FCB"}</definedName>
    <definedName name="as" hidden="1">{"FCB_ALL",#N/A,FALSE,"FCB"}</definedName>
    <definedName name="awe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awe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b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bn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cdvv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dddddd" localSheetId="0" hidden="1">{"FCB_ALL",#N/A,FALSE,"FCB";"GREY_ALL",#N/A,FALSE,"GREY"}</definedName>
    <definedName name="dddddd" hidden="1">{"FCB_ALL",#N/A,FALSE,"FCB";"GREY_ALL",#N/A,FALSE,"GREY"}</definedName>
    <definedName name="dfd" localSheetId="0" hidden="1">{"FCB_ALL",#N/A,FALSE,"FCB";"GREY_ALL",#N/A,FALSE,"GREY"}</definedName>
    <definedName name="dfd" hidden="1">{"FCB_ALL",#N/A,FALSE,"FCB";"GREY_ALL",#N/A,FALSE,"GREY"}</definedName>
    <definedName name="dfdas" localSheetId="0" hidden="1">{"FCB_ALL",#N/A,FALSE,"FCB";"GREY_ALL",#N/A,FALSE,"GREY"}</definedName>
    <definedName name="dfdas" hidden="1">{"FCB_ALL",#N/A,FALSE,"FCB";"GREY_ALL",#N/A,FALSE,"GREY"}</definedName>
    <definedName name="dfdfd" localSheetId="0" hidden="1">{"FCB_ALL",#N/A,FALSE,"FCB";"GREY_ALL",#N/A,FALSE,"GREY"}</definedName>
    <definedName name="dfdfd" hidden="1">{"FCB_ALL",#N/A,FALSE,"FCB";"GREY_ALL",#N/A,FALSE,"GREY"}</definedName>
    <definedName name="dfdfdfd" localSheetId="0" hidden="1">{"FCB_ALL",#N/A,FALSE,"FCB"}</definedName>
    <definedName name="dfdfdfd" hidden="1">{"FCB_ALL",#N/A,FALSE,"FCB"}</definedName>
    <definedName name="draka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draka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eds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s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dw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erref" localSheetId="0" hidden="1">{#N/A,#N/A,FALSE,"Italy";#N/A,#N/A,FALSE,"Aperol Italy";#N/A,#N/A,FALSE,"Aperol Soda Italy";#N/A,#N/A,FALSE,"Spumanti";#N/A,#N/A,FALSE,"Barbieri Liqueur Italy";#N/A,#N/A,FALSE,"Others Italy"}</definedName>
    <definedName name="erref" hidden="1">{#N/A,#N/A,FALSE,"Italy";#N/A,#N/A,FALSE,"Aperol Italy";#N/A,#N/A,FALSE,"Aperol Soda Italy";#N/A,#N/A,FALSE,"Spumanti";#N/A,#N/A,FALSE,"Barbieri Liqueur Italy";#N/A,#N/A,FALSE,"Others Italy"}</definedName>
    <definedName name="EV__LASTREFTIME__" hidden="1">39721.7266087963</definedName>
    <definedName name="HTML_Control" localSheetId="0" hidden="1">{"'КУЛАКОВ Ю.В.'!$A$1:$AP$78"}</definedName>
    <definedName name="HTML_Control" hidden="1">{"'КУЛАКОВ Ю.В.'!$A$1:$AP$78"}</definedName>
    <definedName name="HTML_Description" hidden="1">""</definedName>
    <definedName name="HTML_Email" hidden="1">""</definedName>
    <definedName name="HTML_Header" hidden="1">"КУЛАКОВ Ю.В."</definedName>
    <definedName name="HTML_LastUpdate" hidden="1">"23.02.98"</definedName>
    <definedName name="HTML_LineAfter" hidden="1">TRUE</definedName>
    <definedName name="HTML_LineBefore" hidden="1">TRUE</definedName>
    <definedName name="HTML_Name" hidden="1">"Сысолетин Леонид Борисович"</definedName>
    <definedName name="HTML_OBDlg2" hidden="1">TRUE</definedName>
    <definedName name="HTML_OBDlg4" hidden="1">TRUE</definedName>
    <definedName name="HTML_OS" hidden="1">0</definedName>
    <definedName name="HTML_PathFile" hidden="1">"C:\MyHTML.htm"</definedName>
    <definedName name="HTML_Title" hidden="1">"БЮДЖЕТ_0398изм11"</definedName>
    <definedName name="iuy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iuy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lkjlklkjlkjlkj" localSheetId="0" hidden="1">{"page1",#N/A,TRUE,"CSC";"page2",#N/A,TRUE,"CSC"}</definedName>
    <definedName name="lkjlklkjlkjlkj" hidden="1">{"page1",#N/A,TRUE,"CSC";"page2",#N/A,TRUE,"CSC"}</definedName>
    <definedName name="ll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ll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mrn.sve44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44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mrn.sverka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New" localSheetId="0" hidden="1">{"CSC_1",#N/A,FALSE,"CSC Outputs";"CSC_2",#N/A,FALSE,"CSC Outputs"}</definedName>
    <definedName name="New" hidden="1">{"CSC_1",#N/A,FALSE,"CSC Outputs";"CSC_2",#N/A,FALSE,"CSC Outputs"}</definedName>
    <definedName name="Print_CSC_Report_3" localSheetId="0" hidden="1">{"CSC_1",#N/A,FALSE,"CSC Outputs";"CSC_2",#N/A,FALSE,"CSC Outputs"}</definedName>
    <definedName name="Print_CSC_Report_3" hidden="1">{"CSC_1",#N/A,FALSE,"CSC Outputs";"CSC_2",#N/A,FALSE,"CSC Outputs"}</definedName>
    <definedName name="PrintBuyer" localSheetId="0" hidden="1">{#N/A,"DR",FALSE,"increm pf";#N/A,"MAMSI",FALSE,"increm pf";#N/A,"MAXI",FALSE,"increm pf";#N/A,"PCAM",FALSE,"increm pf";#N/A,"PHSV",FALSE,"increm pf";#N/A,"SIE",FALSE,"increm pf"}</definedName>
    <definedName name="PrintBuyer" hidden="1">{#N/A,"DR",FALSE,"increm pf";#N/A,"MAMSI",FALSE,"increm pf";#N/A,"MAXI",FALSE,"increm pf";#N/A,"PCAM",FALSE,"increm pf";#N/A,"PHSV",FALSE,"increm pf";#N/A,"SIE",FALSE,"increm pf"}</definedName>
    <definedName name="rename_of_wrn.CSC" localSheetId="0" hidden="1">{"page1",#N/A,TRUE,"CSC";"page2",#N/A,TRUE,"CSC"}</definedName>
    <definedName name="rename_of_wrn.CSC" hidden="1">{"page1",#N/A,TRUE,"CSC";"page2",#N/A,TRUE,"CSC"}</definedName>
    <definedName name="Swvu.summary3." hidden="1">[2]Comps!$A$103:$AA$146</definedName>
    <definedName name="wrn.Alex." localSheetId="0" hidden="1">{#N/A,#N/A,FALSE,"TradeSumm";#N/A,#N/A,FALSE,"StatsSumm"}</definedName>
    <definedName name="wrn.Alex." hidden="1">{#N/A,#N/A,FALSE,"TradeSumm";#N/A,#N/A,FALSE,"StatsSumm"}</definedName>
    <definedName name="wrn.all." localSheetId="0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ll." hidden="1">{"a",#N/A,FALSE,"App DCF";"aa",#N/A,FALSE,"App DCF";"aaa",#N/A,FALSE,"App DCF";"aaaa",#N/A,FALSE,"App DCF";"aaaaa",#N/A,FALSE,"App DCF";"aaaaaa",#N/A,FALSE,"App DCF";"a",#N/A,FALSE,"Coated Eur DCF";"aa",#N/A,FALSE,"Coated Eur DCF";"aaa",#N/A,FALSE,"Coated Eur DCF";"aaaa",#N/A,FALSE,"Coated Eur DCF";"aaaaa",#N/A,FALSE,"Coated Eur DCF";"a",#N/A,FALSE,"Carb Th Eur DCF";"aa",#N/A,FALSE,"Carb Th Eur DCF";"aaa",#N/A,FALSE,"Carb Th Eur DCF";"aaaa",#N/A,FALSE,"Carb Th Eur DCF";"aaaaa",#N/A,FALSE,"Carb Th Eur DCF";"a",#N/A,FALSE,"Fine_Spec Eur DCF";"aa",#N/A,FALSE,"Fine_Spec Eur DCF";"aaa",#N/A,FALSE,"Fine_Spec Eur DCF";"aaaa",#N/A,FALSE,"Fine_Spec Eur DCF";"aaaaa",#N/A,FALSE,"Fine_Spec Eur DCF";"a",#N/A,FALSE,"Merchanting";"aa",#N/A,FALSE,"Merchanting";"aaa",#N/A,FALSE,"Merchanting";"aaaa",#N/A,FALSE,"Merchanting";"aaaaa",#N/A,FALSE,"Merchanting";"a",#N/A,FALSE,"Total";"aa",#N/A,FALSE,"Total";"aaa",#N/A,FALSE,"Total";"aaaa",#N/A,FALSE,"Total";"aaaaa",#N/A,FALSE,"Total"}</definedName>
    <definedName name="wrn.Appendix." localSheetId="0" hidden="1">{#N/A,#N/A,TRUE,"Lines";#N/A,#N/A,TRUE,"Stations";#N/A,#N/A,TRUE,"Cap. Expenses";#N/A,#N/A,TRUE,"Land";#N/A,#N/A,TRUE,"Cen Proces Sys";#N/A,#N/A,TRUE,"telecom";#N/A,#N/A,TRUE,"Other"}</definedName>
    <definedName name="wrn.Appendix." hidden="1">{#N/A,#N/A,TRUE,"Lines";#N/A,#N/A,TRUE,"Stations";#N/A,#N/A,TRUE,"Cap. Expenses";#N/A,#N/A,TRUE,"Land";#N/A,#N/A,TRUE,"Cen Proces Sys";#N/A,#N/A,TRUE,"telecom";#N/A,#N/A,TRUE,"Other"}</definedName>
    <definedName name="wrn.Asia." localSheetId="0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localSheetId="0" hidden="1">{"Assumptions",#N/A,FALSE,"Assum"}</definedName>
    <definedName name="wrn.Assumptions." hidden="1">{"Assumptions",#N/A,FALSE,"Assum"}</definedName>
    <definedName name="wrn.CAG." localSheetId="0" hidden="1">{#N/A,#N/A,FALSE,"CAG"}</definedName>
    <definedName name="wrn.CAG." hidden="1">{#N/A,#N/A,FALSE,"CAG"}</definedName>
    <definedName name="wrn.Cider." localSheetId="0" hidden="1">{#N/A,#N/A,FALSE,"Cider Segment";#N/A,#N/A,FALSE,"Bulmers";#N/A,#N/A,FALSE,"Ritz";#N/A,#N/A,FALSE,"Stag";#N/A,#N/A,FALSE,"Cider Others"}</definedName>
    <definedName name="wrn.Cider." hidden="1">{#N/A,#N/A,FALSE,"Cider Segment";#N/A,#N/A,FALSE,"Bulmers";#N/A,#N/A,FALSE,"Ritz";#N/A,#N/A,FALSE,"Stag";#N/A,#N/A,FALSE,"Cider Others"}</definedName>
    <definedName name="wrn.Consolidated._.Set." localSheetId="0" hidden="1">{"Consolidated IS w Ratios",#N/A,FALSE,"Consolidated";"Consolidated CF",#N/A,FALSE,"Consolidated";"Consolidated DCF",#N/A,FALSE,"Consolidated"}</definedName>
    <definedName name="wrn.Consolidated._.Set." hidden="1">{"Consolidated IS w Ratios",#N/A,FALSE,"Consolidated";"Consolidated CF",#N/A,FALSE,"Consolidated";"Consolidated DCF",#N/A,FALSE,"Consolidated"}</definedName>
    <definedName name="wrn.contribution." localSheetId="0" hidden="1">{#N/A,#N/A,FALSE,"Contribution Analysis"}</definedName>
    <definedName name="wrn.contribution." hidden="1">{#N/A,#N/A,FALSE,"Contribution Analysis"}</definedName>
    <definedName name="wrn.Cover." localSheetId="0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PB." localSheetId="0" hidden="1">{#N/A,#N/A,FALSE,"CPB"}</definedName>
    <definedName name="wrn.CPB." hidden="1">{#N/A,#N/A,FALSE,"CPB"}</definedName>
    <definedName name="wrn.Credit._.Summary." localSheetId="0" hidden="1">{#N/A,#N/A,FALSE,"Credit Summary"}</definedName>
    <definedName name="wrn.Credit._.Summary." hidden="1">{#N/A,#N/A,FALSE,"Credit Summary"}</definedName>
    <definedName name="wrn.CSC." localSheetId="0" hidden="1">{"page1",#N/A,TRUE,"CSC";"page2",#N/A,TRUE,"CSC"}</definedName>
    <definedName name="wrn.CSC." hidden="1">{"page1",#N/A,TRUE,"CSC";"page2",#N/A,TRUE,"CSC"}</definedName>
    <definedName name="wrn.CSC2" localSheetId="0" hidden="1">{"page1",#N/A,TRUE,"CSC";"page2",#N/A,TRUE,"CSC"}</definedName>
    <definedName name="wrn.CSC2" hidden="1">{"page1",#N/A,TRUE,"CSC";"page2",#N/A,TRUE,"CSC"}</definedName>
    <definedName name="wrn.csc2." localSheetId="0" hidden="1">{#N/A,#N/A,FALSE,"ORIX CSC"}</definedName>
    <definedName name="wrn.csc2." hidden="1">{#N/A,#N/A,FALSE,"ORIX CSC"}</definedName>
    <definedName name="wrn.dcf." localSheetId="0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urope." localSheetId="0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urope._.Base." localSheetId="0" hidden="1">{"Eur Base Top",#N/A,FALSE,"Europe Base";"Eur Base Bottom",#N/A,FALSE,"Europe Base"}</definedName>
    <definedName name="wrn.Europe._.Base." hidden="1">{"Eur Base Top",#N/A,FALSE,"Europe Base";"Eur Base Bottom",#N/A,FALSE,"Europe Base"}</definedName>
    <definedName name="wrn.Europe._.Set." localSheetId="0" hidden="1">{"IS w Ratios",#N/A,FALSE,"Europe";"PF CF Europe",#N/A,FALSE,"Europe";"DCF Eur Matrix",#N/A,FALSE,"Europe"}</definedName>
    <definedName name="wrn.Europe._.Set." hidden="1">{"IS w Ratios",#N/A,FALSE,"Europe";"PF CF Europe",#N/A,FALSE,"Europe";"DCF Eur Matrix",#N/A,FALSE,"Europe"}</definedName>
    <definedName name="wrn.Everything." localSheetId="0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ports." localSheetId="0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Exports." hidden="1">{#N/A,#N/A,FALSE,"Exports";#N/A,#N/A,FALSE,"Carolans";#N/A,#N/A,FALSE,"Irish Mist";#N/A,#N/A,FALSE,"Tullamore Dew";#N/A,#N/A,FALSE,"Other Brands Exports";#N/A,#N/A,FALSE,"Frangelico";#N/A,#N/A,FALSE,"Mondoro";#N/A,#N/A,FALSE,"Aperol";#N/A,#N/A,FALSE,"Others Exports"}</definedName>
    <definedName name="wrn.Far._.East._.Set." localSheetId="0" hidden="1">{"IS FE with Ratios",#N/A,FALSE,"Far East";"PF CF Far East",#N/A,FALSE,"Far East";"DCF Far East Matrix",#N/A,FALSE,"Far East"}</definedName>
    <definedName name="wrn.Far._.East._.Set." hidden="1">{"IS FE with Ratios",#N/A,FALSE,"Far East";"PF CF Far East",#N/A,FALSE,"Far East";"DCF Far East Matrix",#N/A,FALSE,"Far East"}</definedName>
    <definedName name="wrn.FCB." localSheetId="0" hidden="1">{"FCB_ALL",#N/A,FALSE,"FCB"}</definedName>
    <definedName name="wrn.FCB." hidden="1">{"FCB_ALL",#N/A,FALSE,"FCB"}</definedName>
    <definedName name="wrn.fcb2" localSheetId="0" hidden="1">{"FCB_ALL",#N/A,FALSE,"FCB"}</definedName>
    <definedName name="wrn.fcb2" hidden="1">{"FCB_ALL",#N/A,FALSE,"FCB"}</definedName>
    <definedName name="wrn.FE._.Sensitivity." localSheetId="0" hidden="1">{"Far East Top",#N/A,FALSE,"FE Model";"Far East Mid",#N/A,FALSE,"FE Model";"Far East Base",#N/A,FALSE,"FE Model"}</definedName>
    <definedName name="wrn.FE._.Sensitivity." hidden="1">{"Far East Top",#N/A,FALSE,"FE Model";"Far East Mid",#N/A,FALSE,"FE Model";"Far East Base",#N/A,FALSE,"FE Model"}</definedName>
    <definedName name="wrn.for._.TenneT." localSheetId="0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for._.TenneT." hidden="1">{#N/A,#N/A,TRUE,"Cover";#N/A,#N/A,TRUE,"Corrections";#N/A,#N/A,TRUE,"Tariffs DTe";#N/A,#N/A,TRUE,"Revenues";#N/A,#N/A,TRUE,"Energie&amp;Vermogen";#N/A,#N/A,TRUE,"TPA";#N/A,#N/A,TRUE,"Opex 1";#N/A,#N/A,TRUE,"Capital Expenditures";#N/A,#N/A,TRUE,"Budget TenneT";#N/A,#N/A,TRUE,"P&amp;L";#N/A,#N/A,TRUE,"BS";#N/A,#N/A,TRUE,"Debt";#N/A,#N/A,TRUE,"Lines";#N/A,#N/A,TRUE,"Stations";#N/A,#N/A,TRUE,"Cap. Expenses";#N/A,#N/A,TRUE,"Land";#N/A,#N/A,TRUE,"Cen Proces Sys";#N/A,#N/A,TRUE,"telecom";#N/A,#N/A,TRUE,"Other"}</definedName>
    <definedName name="wrn.GIS." localSheetId="0" hidden="1">{#N/A,#N/A,FALSE,"GIS"}</definedName>
    <definedName name="wrn.GIS." hidden="1">{#N/A,#N/A,FALSE,"GIS"}</definedName>
    <definedName name="wrn.Historical._.Cost._.PWC." localSheetId="0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PWC." hidden="1">{#N/A,#N/A,TRUE,"Cover His PWC";#N/A,#N/A,TRUE,"P&amp;L";#N/A,#N/A,TRUE,"BS";#N/A,#N/A,TRUE,"Depreciation";#N/A,#N/A,TRUE,"GRAPHS";#N/A,#N/A,TRUE,"DCF EBITDA Multiple";#N/A,#N/A,TRUE,"DCF Perpetual Growth"}</definedName>
    <definedName name="wrn.Historical._.Cost._.TenneT." localSheetId="0" hidden="1">{#N/A,#N/A,TRUE,"Cover His T";#N/A,#N/A,TRUE,"P&amp;L";#N/A,#N/A,TRUE,"BS";#N/A,#N/A,TRUE,"Depreciation";#N/A,#N/A,TRUE,"GRAPHS";#N/A,#N/A,TRUE,"DCF EBITDA Multiple";#N/A,#N/A,TRUE,"DCF Perpetual Growth"}</definedName>
    <definedName name="wrn.Historical._.Cost._.TenneT." hidden="1">{#N/A,#N/A,TRUE,"Cover His T";#N/A,#N/A,TRUE,"P&amp;L";#N/A,#N/A,TRUE,"BS";#N/A,#N/A,TRUE,"Depreciation";#N/A,#N/A,TRUE,"GRAPHS";#N/A,#N/A,TRUE,"DCF EBITDA Multiple";#N/A,#N/A,TRUE,"DCF Perpetual Growth"}</definedName>
    <definedName name="wrn.HNZ." localSheetId="0" hidden="1">{#N/A,#N/A,FALSE,"HNZ"}</definedName>
    <definedName name="wrn.HNZ." hidden="1">{#N/A,#N/A,FALSE,"HNZ"}</definedName>
    <definedName name="wrn.Introduction." localSheetId="0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ntroduction." hidden="1">{#N/A,#N/A,TRUE,"Cover";#N/A,#N/A,TRUE,"Valuation Summary";#N/A,#N/A,TRUE,"Valuation Summary (2)";#N/A,#N/A,TRUE,"FCF Summary";#N/A,#N/A,TRUE,"Macro Assumptions";#N/A,#N/A,TRUE,"Tariffs DTe";#N/A,#N/A,TRUE,"Revenues";#N/A,#N/A,TRUE,"System Services";#N/A,#N/A,TRUE,"TPA";#N/A,#N/A,TRUE,"Opex 1";#N/A,#N/A,TRUE,"Opex";#N/A,#N/A,TRUE,"Assumptions";#N/A,#N/A,TRUE,"Capital Expenditures";#N/A,#N/A,TRUE,"WACC_DTe";#N/A,#N/A,TRUE,"WACC";#N/A,#N/A,TRUE,"TComps";#N/A,#N/A,TRUE,"AComps";#N/A,#N/A,TRUE,"ACompsG"}</definedName>
    <definedName name="wrn.Italy." localSheetId="0" hidden="1">{#N/A,#N/A,FALSE,"Italy";#N/A,#N/A,FALSE,"Aperol Italy";#N/A,#N/A,FALSE,"Aperol Soda Italy";#N/A,#N/A,FALSE,"Spumanti";#N/A,#N/A,FALSE,"Barbieri Liqueur Italy";#N/A,#N/A,FALSE,"Others Italy"}</definedName>
    <definedName name="wrn.Italy." hidden="1">{#N/A,#N/A,FALSE,"Italy";#N/A,#N/A,FALSE,"Aperol Italy";#N/A,#N/A,FALSE,"Aperol Soda Italy";#N/A,#N/A,FALSE,"Spumanti";#N/A,#N/A,FALSE,"Barbieri Liqueur Italy";#N/A,#N/A,FALSE,"Others Italy"}</definedName>
    <definedName name="wrn.JG._.FE._.Dollar." localSheetId="0" hidden="1">{"JG FE Top",#N/A,FALSE,"JG FE $";"JG FE Bottom",#N/A,FALSE,"JG FE $"}</definedName>
    <definedName name="wrn.JG._.FE._.Dollar." hidden="1">{"JG FE Top",#N/A,FALSE,"JG FE $";"JG FE Bottom",#N/A,FALSE,"JG FE $"}</definedName>
    <definedName name="wrn.JG._.FE._.Yen." localSheetId="0" hidden="1">{"JG FE Top",#N/A,FALSE,"JG FE ¥";"JG FE Bottom",#N/A,FALSE,"JG FE ¥"}</definedName>
    <definedName name="wrn.JG._.FE._.Yen." hidden="1">{"JG FE Top",#N/A,FALSE,"JG FE ¥";"JG FE Bottom",#N/A,FALSE,"JG FE ¥"}</definedName>
    <definedName name="wrn.K." localSheetId="0" hidden="1">{#N/A,#N/A,FALSE,"K"}</definedName>
    <definedName name="wrn.K." hidden="1">{#N/A,#N/A,FALSE,"K"}</definedName>
    <definedName name="wrn.lbo." localSheetId="0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." hidden="1">{"a",#N/A,FALSE,"LBO - 100%, No Sales";"aa",#N/A,FALSE,"LBO - 100%, No Sales";"aaa",#N/A,FALSE,"LBO - 100%, No Sales";"aaaa",#N/A,FALSE,"LBO - 100%, No Sales";"aaaaa",#N/A,FALSE,"LBO - 100%, No Sales";"aaaaaa",#N/A,FALSE,"LBO - 100%, No Sales";"aaaaaaa",#N/A,FALSE,"LBO - 100%, No Sales";"aaaaaaaa",#N/A,FALSE,"LBO - 100%, No Sales"}</definedName>
    <definedName name="wrn.lbo2." localSheetId="0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2." hidden="1">{"a",#N/A,FALSE,"LBO - 100%, Sells FSM in 1999";"aa",#N/A,FALSE,"LBO - 100%, Sells FSM in 1999";"aaa",#N/A,FALSE,"LBO - 100%, Sells FSM in 1999";"aaaa",#N/A,FALSE,"LBO - 100%, Sells FSM in 1999";"aaaaa",#N/A,FALSE,"LBO - 100%, Sells FSM in 1999";"aaaaaa",#N/A,FALSE,"LBO - 100%, Sells FSM in 1999";"aaaaaaa",#N/A,FALSE,"LBO - 100%, Sells FSM in 1999"}</definedName>
    <definedName name="wrn.lbo3." localSheetId="0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lbo3." hidden="1">{"a",#N/A,FALSE,"LBO - 100%, Sell C,CT 98......";"aa",#N/A,FALSE,"LBO - 100%, Sell C,CT 98......";"aaa",#N/A,FALSE,"LBO - 100%, Sell C,CT 98......";"aaaa",#N/A,FALSE,"LBO - 100%, Sell C,CT 98......";"aaaaa",#N/A,FALSE,"LBO - 100%, Sell C,CT 98......";"aaaaaa",#N/A,FALSE,"LBO - 100%, Sell C,CT 98......"}</definedName>
    <definedName name="wrn.May._.21." localSheetId="0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ay._.21." hidden="1">{#N/A,#N/A,TRUE,"Cover";#N/A,#N/A,TRUE,"Tariffs DTe";#N/A,#N/A,TRUE,"Revenues";#N/A,#N/A,TRUE,"Operating Expenses";#N/A,#N/A,TRUE,"Energy &amp; Power";#N/A,#N/A,TRUE,"Grid Costs";#N/A,#N/A,TRUE,"TPA";#N/A,#N/A,TRUE,"Maintenance";#N/A,#N/A,TRUE,"Personnel";#N/A,#N/A,TRUE,"General";#N/A,#N/A,TRUE,"P&amp;L";#N/A,#N/A,TRUE,"Capital Expenditures";#N/A,#N/A,TRUE,"Assumptions";#N/A,#N/A,TRUE,"Working Capital";#N/A,#N/A,TRUE,"Cash";#N/A,#N/A,TRUE,"Equity";#N/A,#N/A,TRUE,"Deferred Income";#N/A,#N/A,TRUE,"Provisions";#N/A,#N/A,TRUE,"Debt";#N/A,#N/A,TRUE,"BS";#N/A,#N/A,TRUE,"WACC_DTe"}</definedName>
    <definedName name="wrn.MCCRK." localSheetId="0" hidden="1">{#N/A,#N/A,FALSE,"MCCRK"}</definedName>
    <definedName name="wrn.MCCRK." hidden="1">{#N/A,#N/A,FALSE,"MCCRK"}</definedName>
    <definedName name="wrn.MERGER._.PLANS." localSheetId="0" hidden="1">{"Assumptions1",#N/A,FALSE,"Assumptions";"MergerPlans1","20yearamort",FALSE,"MergerPlans";"MergerPlans1","40yearamort",FALSE,"MergerPlans";"MergerPlans2",#N/A,FALSE,"MergerPlans";"inputs",#N/A,FALSE,"MergerPlans"}</definedName>
    <definedName name="wrn.MERGER._.PLANS." hidden="1">{"Assumptions1",#N/A,FALSE,"Assumptions";"MergerPlans1","20yearamort",FALSE,"MergerPlans";"MergerPlans1","40yearamort",FALSE,"MergerPlans";"MergerPlans2",#N/A,FALSE,"MergerPlans";"inputs",#N/A,FALSE,"MergerPlans"}</definedName>
    <definedName name="wrn.NA." localSheetId="0" hidden="1">{#N/A,#N/A,FALSE,"NA"}</definedName>
    <definedName name="wrn.NA." hidden="1">{#N/A,#N/A,FALSE,"NA"}</definedName>
    <definedName name="wrn.NA._.Model._.T._.and._.B." localSheetId="0" hidden="1">{"NA Top",#N/A,FALSE,"NA Model";"NA Bottom",#N/A,FALSE,"NA Model"}</definedName>
    <definedName name="wrn.NA._.Model._.T._.and._.B." hidden="1">{"NA Top",#N/A,FALSE,"NA Model";"NA Bottom",#N/A,FALSE,"NA Model"}</definedName>
    <definedName name="wrn.NA_ULV._.Tand._.B." localSheetId="0" hidden="1">{"NA Top",#N/A,FALSE,"NA-ULV";"NA Bottom",#N/A,FALSE,"NA-ULV"}</definedName>
    <definedName name="wrn.NA_ULV._.Tand._.B." hidden="1">{"NA Top",#N/A,FALSE,"NA-ULV";"NA Bottom",#N/A,FALSE,"NA-ULV"}</definedName>
    <definedName name="wrn.North._.America._.Set." localSheetId="0" hidden="1">{"NA Is w Ratios",#N/A,FALSE,"North America";"PF CFlow NA",#N/A,FALSE,"North America";"NA DCF Matrix",#N/A,FALSE,"North America"}</definedName>
    <definedName name="wrn.North._.America._.Set." hidden="1">{"NA Is w Ratios",#N/A,FALSE,"North America";"PF CFlow NA",#N/A,FALSE,"North America";"NA DCF Matrix",#N/A,FALSE,"North America"}</definedName>
    <definedName name="wrn.Output." localSheetId="0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rint." localSheetId="0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Europe._.TandB." localSheetId="0" hidden="1">{"Print Top",#N/A,FALSE,"Europe Model";"Print Bottom",#N/A,FALSE,"Europe Model"}</definedName>
    <definedName name="wrn.Print._.Europe._.TandB." hidden="1">{"Print Top",#N/A,FALSE,"Europe Model";"Print Bottom",#N/A,FALSE,"Europe Model"}</definedName>
    <definedName name="wrn.Print._.FE._.T._.and._.B." localSheetId="0" hidden="1">{"Far East Top",#N/A,FALSE,"FE Model";"Far East Bottom",#N/A,FALSE,"FE Model"}</definedName>
    <definedName name="wrn.Print._.FE._.T._.and._.B." hidden="1">{"Far East Top",#N/A,FALSE,"FE Model";"Far East Bottom",#N/A,FALSE,"FE Model"}</definedName>
    <definedName name="wrn.print._.graphs." localSheetId="0" hidden="1">{"cap_structure",#N/A,FALSE,"Graph-Mkt Cap";"price",#N/A,FALSE,"Graph-Price";"ebit",#N/A,FALSE,"Graph-EBITDA";"ebitda",#N/A,FALSE,"Graph-EBITDA"}</definedName>
    <definedName name="wrn.print._.graphs." hidden="1">{"cap_structure",#N/A,FALSE,"Graph-Mkt Cap";"price",#N/A,FALSE,"Graph-Price";"ebit",#N/A,FALSE,"Graph-EBITDA";"ebitda",#N/A,FALSE,"Graph-EBITDA"}</definedName>
    <definedName name="wrn.print._.raw._.data._.entry." localSheetId="0" hidden="1">{"inputs raw data",#N/A,TRUE,"INPUT"}</definedName>
    <definedName name="wrn.print._.raw._.data._.entry." hidden="1">{"inputs raw data",#N/A,TRUE,"INPUT"}</definedName>
    <definedName name="wrn.print._.standalone." localSheetId="0" hidden="1">{"standalone1",#N/A,FALSE,"DCFBase";"standalone2",#N/A,FALSE,"DCFBase"}</definedName>
    <definedName name="wrn.print._.standalone." hidden="1">{"standalone1",#N/A,FALSE,"DCFBase";"standalone2",#N/A,FALSE,"DCFBase"}</definedName>
    <definedName name="wrn.print._.summary._.sheets." localSheetId="0" hidden="1">{"summary1",#N/A,TRUE,"Comps";"summary2",#N/A,TRUE,"Comps";"summary3",#N/A,TRUE,"Comps"}</definedName>
    <definedName name="wrn.print._.summary._.sheets." hidden="1">{"summary1",#N/A,TRUE,"Comps";"summary2",#N/A,TRUE,"Comps";"summary3",#N/A,TRUE,"Comps"}</definedName>
    <definedName name="wrn.print._.summary._.sheets.2" localSheetId="0" hidden="1">{"summary1",#N/A,TRUE,"Comps";"summary2",#N/A,TRUE,"Comps";"summary3",#N/A,TRUE,"Comps"}</definedName>
    <definedName name="wrn.print._.summary._.sheets.2" hidden="1">{"summary1",#N/A,TRUE,"Comps";"summary2",#N/A,TRUE,"Comps";"summary3",#N/A,TRUE,"Comps"}</definedName>
    <definedName name="wrn.Print_Buyer." localSheetId="0" hidden="1">{#N/A,"DR",FALSE,"increm pf";#N/A,"MAMSI",FALSE,"increm pf";#N/A,"MAXI",FALSE,"increm pf";#N/A,"PCAM",FALSE,"increm pf";#N/A,"PHSV",FALSE,"increm pf";#N/A,"SIE",FALSE,"increm pf"}</definedName>
    <definedName name="wrn.Print_Buyer." hidden="1">{#N/A,"DR",FALSE,"increm pf";#N/A,"MAMSI",FALSE,"increm pf";#N/A,"MAXI",FALSE,"increm pf";#N/A,"PCAM",FALSE,"increm pf";#N/A,"PHSV",FALSE,"increm pf";#N/A,"SIE",FALSE,"increm pf"}</definedName>
    <definedName name="wrn.Print_CSC." localSheetId="0" hidden="1">{"CSC_1",#N/A,FALSE,"CSC Outputs";"CSC_2",#N/A,FALSE,"CSC Outputs"}</definedName>
    <definedName name="wrn.Print_CSC." hidden="1">{"CSC_1",#N/A,FALSE,"CSC Outputs";"CSC_2",#N/A,FALSE,"CSC Outputs"}</definedName>
    <definedName name="wrn.Print_CSC2" localSheetId="0" hidden="1">{"CSC_1",#N/A,FALSE,"CSC Outputs";"CSC_2",#N/A,FALSE,"CSC Outputs"}</definedName>
    <definedName name="wrn.Print_CSC2" hidden="1">{"CSC_1",#N/A,FALSE,"CSC Outputs";"CSC_2",#N/A,FALSE,"CSC Outputs"}</definedName>
    <definedName name="wrn.Print_Target." localSheetId="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all." localSheetId="0" hidden="1">{"projections1",#N/A,FALSE,"projections";"dcf2",#N/A,FALSE,"dcf";"dcf no profit sharing",#N/A,FALSE,"dcf no profit sharing";"avp1",#N/A,FALSE,"avp"}</definedName>
    <definedName name="wrn.printall." hidden="1">{"projections1",#N/A,FALSE,"projections";"dcf2",#N/A,FALSE,"dcf";"dcf no profit sharing",#N/A,FALSE,"dcf no profit sharing";"avp1",#N/A,FALSE,"avp"}</definedName>
    <definedName name="wrn.Replacement._.Cost." localSheetId="0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Replacement._.Cost." hidden="1">{#N/A,#N/A,TRUE,"Cover Repl";#N/A,#N/A,TRUE,"P&amp;L";#N/A,#N/A,TRUE,"P&amp;L (2)";#N/A,#N/A,TRUE,"BS";#N/A,#N/A,TRUE,"Depreciation";#N/A,#N/A,TRUE,"GRAPHS";#N/A,#N/A,TRUE,"DCF EBITDA Multiple";#N/A,#N/A,TRUE,"DCF Perpetual Growth"}</definedName>
    <definedName name="wrn.SKSCS1." localSheetId="0" hidden="1">{#N/A,#N/A,FALSE,"Antony Financials";#N/A,#N/A,FALSE,"Cowboy Financials";#N/A,#N/A,FALSE,"Combined";#N/A,#N/A,FALSE,"Valuematrix";#N/A,#N/A,FALSE,"DCFAntony";#N/A,#N/A,FALSE,"DCFCowboy";#N/A,#N/A,FALSE,"DCFCombined"}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ft._.Drinks." localSheetId="0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oft._.Drinks." hidden="1">{#N/A,#N/A,FALSE,"Soft Drinks";#N/A,#N/A,FALSE,"Club Soft";#N/A,#N/A,FALSE,"Club Mixers";#N/A,#N/A,FALSE,"TK";#N/A,#N/A,FALSE,"Cidona";#N/A,#N/A,FALSE,"Britvic";#N/A,#N/A,FALSE,"Mi Wadi";#N/A,#N/A,FALSE,"Pepsi";#N/A,#N/A,FALSE,"7UP";#N/A,#N/A,FALSE,"Schweppes";#N/A,#N/A,FALSE,"Wholesale";#N/A,#N/A,FALSE,"Other Soft Drinks"}</definedName>
    <definedName name="wrn.STAND_ALONE_BOTH." localSheetId="0" hidden="1">{"FCB_ALL",#N/A,FALSE,"FCB";"GREY_ALL",#N/A,FALSE,"GREY"}</definedName>
    <definedName name="wrn.STAND_ALONE_BOTH." hidden="1">{"FCB_ALL",#N/A,FALSE,"FCB";"GREY_ALL",#N/A,FALSE,"GREY"}</definedName>
    <definedName name="wrn.Standard." localSheetId="0" hidden="1">{"Financials",#N/A,FALSE,"Financials";"AVP",#N/A,FALSE,"AVP";"DCF",#N/A,FALSE,"DCF";"CSC",#N/A,FALSE,"CSC";"Deal_Comp",#N/A,FALSE,"DealComp"}</definedName>
    <definedName name="wrn.Standard." hidden="1">{"Financials",#N/A,FALSE,"Financials";"AVP",#N/A,FALSE,"AVP";"DCF",#N/A,FALSE,"DCF";"CSC",#N/A,FALSE,"CSC";"Deal_Comp",#N/A,FALSE,"DealComp"}</definedName>
    <definedName name="wrn.SummaryPgs." localSheetId="0" hidden="1">{#N/A,#N/A,FALSE,"CreditStat";#N/A,#N/A,FALSE,"SPbrkup";#N/A,#N/A,FALSE,"MerSPsyn";#N/A,#N/A,FALSE,"MerSPwKCsyn";#N/A,#N/A,FALSE,"MerSPwKCsyn (2)";#N/A,#N/A,FALSE,"CreditStat (2)"}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SVERKA.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.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1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22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345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sverka7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wrn.test." localSheetId="0" hidden="1">{"test2",#N/A,TRUE,"Prices"}</definedName>
    <definedName name="wrn.test." hidden="1">{"test2",#N/A,TRUE,"Prices"}</definedName>
    <definedName name="wrn.Trading._.Summary." localSheetId="0" hidden="1">{#N/A,#N/A,FALSE,"Trading Summary"}</definedName>
    <definedName name="wrn.Trading._.Summary." hidden="1">{#N/A,#N/A,FALSE,"Trading Summary"}</definedName>
    <definedName name="wrn.Tweety." localSheetId="0" hidden="1">{#N/A,#N/A,FALSE,"A&amp;E";#N/A,#N/A,FALSE,"HighTop";#N/A,#N/A,FALSE,"JG";#N/A,#N/A,FALSE,"RI";#N/A,#N/A,FALSE,"woHT";#N/A,#N/A,FALSE,"woHT&amp;JG"}</definedName>
    <definedName name="wrn.Tweety." hidden="1">{#N/A,#N/A,FALSE,"A&amp;E";#N/A,#N/A,FALSE,"HighTop";#N/A,#N/A,FALSE,"JG";#N/A,#N/A,FALSE,"RI";#N/A,#N/A,FALSE,"woHT";#N/A,#N/A,FALSE,"woHT&amp;JG"}</definedName>
    <definedName name="wrn.Upper._.Case." localSheetId="0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Upper._.Case." hidden="1">{"presentation","onepurchase",FALSE,"Inputs and Calculations";"presentation","onepool",FALSE,"Inputs and Calculations";"presentation","twopool",FALSE,"Inputs and Calculations";"presentation","twopurchase",FALSE,"Inputs and Calculations";"presentation","threepurchase",FALSE,"Inputs and Calculations";"presentation","threepool",FALSE,"Inputs and Calculations";"presentation","fourpool",FALSE,"Inputs and Calculations";"presentation","fourpurchase",FALSE,"Inputs and Calculations";"presentation","fivepool",FALSE,"Inputs and Calculations";"presentation","fivepurchase",FALSE,"Inputs and Calculations";"presentation","sixpool",FALSE,"Inputs and Calculations";"presentation","sixpurchase",FALSE,"Inputs and Calculations";"presentation","sevenpool",FALSE,"Inputs and Calculations";"presentation","sevenpurchase",FALSE,"Inputs and Calculations";"presentation","eightpool",FALSE,"Inputs and Calculations";"presentation","eightpurchase",FALSE,"Inputs and Calculations";"presentation","ninepool",FALSE,"Inputs and Calculations";"presentation","ninepurchase",FALSE,"Inputs and Calculations";"presentation","tenpool",FALSE,"Inputs and Calculations";"presentation","tenpurchase",FALSE,"Inputs and Calculations"}</definedName>
    <definedName name="wrn.valderrama." localSheetId="0" hidden="1">{"valderrama1",#N/A,FALSE,"Pro Forma";"valderrama",#N/A,FALSE,"Pro Forma"}</definedName>
    <definedName name="wrn.valderrama." hidden="1">{"valderrama1",#N/A,FALSE,"Pro Forma";"valderrama",#N/A,FALSE,"Pro Forma"}</definedName>
    <definedName name="wrn.Valuation._.Committee." localSheetId="0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Committee." hidden="1">{#N/A,#N/A,TRUE,"Cover";#N/A,#N/A,TRUE,"Macro Assumptions";#N/A,#N/A,TRUE,"Tariffs DTe";#N/A,#N/A,TRUE,"2000 Revenues";#N/A,#N/A,TRUE,"Initial RAB";#N/A,#N/A,TRUE,"inflated RAB";#N/A,#N/A,TRUE,"Budget TenneT";#N/A,#N/A,TRUE,"Revenues";#N/A,#N/A,TRUE,"Operating Expenses";#N/A,#N/A,TRUE,"Energy &amp; Power";#N/A,#N/A,TRUE,"Grid Costs";#N/A,#N/A,TRUE,"TPA";#N/A,#N/A,TRUE,"Maintenance";#N/A,#N/A,TRUE,"Personnel";#N/A,#N/A,TRUE,"General";#N/A,#N/A,TRUE,"Depr";#N/A,#N/A,TRUE,"P&amp;L";#N/A,#N/A,TRUE,"Fixed Assets_Sum";#N/A,#N/A,TRUE,"Assumptions";#N/A,#N/A,TRUE,"FA";#N/A,#N/A,TRUE,"CapEx";#N/A,#N/A,TRUE,"Work in Progress";#N/A,#N/A,TRUE,"Working Capital";#N/A,#N/A,TRUE,"Cash";#N/A,#N/A,TRUE,"Equity";#N/A,#N/A,TRUE,"Provisions";#N/A,#N/A,TRUE,"Debt";#N/A,#N/A,TRUE,"BS";#N/A,#N/A,TRUE,"CF";#N/A,#N/A,TRUE,"Lines";#N/A,#N/A,TRUE,"Stations";#N/A,#N/A,TRUE,"Cap. Expenses";#N/A,#N/A,TRUE,"Land";#N/A,#N/A,TRUE,"Cen Proces Sys";#N/A,#N/A,TRUE,"IT";#N/A,#N/A,TRUE,"telecom";#N/A,#N/A,TRUE,"Other";#N/A,#N/A,TRUE,"WACC_DTe_pre";#N/A,#N/A,TRUE,"WACC_DTe_post";#N/A,#N/A,TRUE,"Wacc";#N/A,#N/A,TRUE,"DCF EBITDA Multiple";#N/A,#N/A,TRUE,"DCF Perpetual Growth";#N/A,#N/A,TRUE,"RAB (DTe)";#N/A,#N/A,TRUE,"P&amp;L (2)";#N/A,#N/A,TRUE,"TComps"}</definedName>
    <definedName name="wrn.Valuation._.Package._.1." localSheetId="0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Valuation._.Package._.1." hidden="1">{"Balance Sheet",#N/A,FALSE,"Balance Sheet";"Sum Cash Flow",#N/A,FALSE,"Sum Cash Flow";"Income Statement 1",#N/A,FALSE,"Income Statement 1";"DCF Projections",#N/A,FALSE,"DCF Projections";"DCF1",#N/A,FALSE,"DCF1";"AVP",#N/A,FALSE,"AVP";"CalcWorksheet",#N/A,FALSE,"Calc Wksht New";"PV of Future Prices",#N/A,FALSE,"Fut Share Price - New EPS";"FutureSharePrices",#N/A,FALSE,"Future Share Prices"}</definedName>
    <definedName name="wrn.Water." localSheetId="0" hidden="1">{#N/A,#N/A,FALSE,"Water";#N/A,#N/A,FALSE,"Ballygowan";#N/A,#N/A,FALSE,"Volvic"}</definedName>
    <definedName name="wrn.Water." hidden="1">{#N/A,#N/A,FALSE,"Water";#N/A,#N/A,FALSE,"Ballygowan";#N/A,#N/A,FALSE,"Volvic"}</definedName>
    <definedName name="wrn.whole._.document." localSheetId="0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._.document." hidden="1">{"page 1",#N/A,FALSE,"A";"page 2",#N/A,FALSE,"A";"page 3",#N/A,FALSE,"A";"page 4",#N/A,FALSE,"A";"page 5",#N/A,FALSE,"A";"page 6",#N/A,FALSE,"A";"page 7",#N/A,FALSE,"A";"page 8",#N/A,FALSE,"A";"page 9",#N/A,FALSE,"A";"page 10",#N/A,FALSE,"A";"page 11",#N/A,FALSE,"A";"page 12",#N/A,FALSE,"A";"page 13",#N/A,FALSE,"A";"page 14",#N/A,FALSE,"A"}</definedName>
    <definedName name="wrn.WholeShabang." localSheetId="0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holeShabang." hidden="1">{"QIncStmt",#N/A,FALSE,"Quarter Inc St";"QGrthNMrgn",#N/A,FALSE,"Quarter Inc St";"SummIncStmt",#N/A,FALSE,"Income Statement";"BalanceSheet",#N/A,FALSE,"Balance Sheet";"SumCashFlow",#N/A,FALSE,"Sum Cash Flow";"DCFProjections",#N/A,FALSE,"DCF Projections";"CalcWorksheet",#N/A,FALSE,"Calc Wksht New";"DCFPresent Value",#N/A,FALSE,"DCF1";"FutureSharePrices",#N/A,FALSE,"Future Share Prices";"AVP",#N/A,FALSE,"AVP";"PV of Future Prices",#N/A,FALSE,"Fut Share Price - New EPS"}</definedName>
    <definedName name="wrn.WineSpirits." localSheetId="0" hidden="1">{#N/A,#N/A,FALSE,"W&amp;Spirits";#N/A,#N/A,FALSE,"Grants";#N/A,#N/A,FALSE,"CCB"}</definedName>
    <definedName name="wrn.WineSpirits." hidden="1">{#N/A,#N/A,FALSE,"W&amp;Spirits";#N/A,#N/A,FALSE,"Grants";#N/A,#N/A,FALSE,"CCB"}</definedName>
    <definedName name="wrn.WWY." localSheetId="0" hidden="1">{#N/A,#N/A,FALSE,"WWY"}</definedName>
    <definedName name="wrn.WWY." hidden="1">{#N/A,#N/A,FALSE,"WWY"}</definedName>
    <definedName name="wvu.inputs._.raw._.data." localSheetId="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localSheetId="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еку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еку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_xlnm.Print_Area" localSheetId="1">ENVIRONMENT!$A$1:$J$149</definedName>
    <definedName name="_xlnm.Print_Area" localSheetId="3">GOVERNANCE!$A$1:$J$93</definedName>
    <definedName name="_xlnm.Print_Area" localSheetId="0">MENU!$A$1:$Q$38</definedName>
    <definedName name="_xlnm.Print_Area" localSheetId="2">SOCIAL!$A$1:$K$91</definedName>
    <definedName name="ор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ор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прмтмиато" localSheetId="0" hidden="1">#REF!</definedName>
    <definedName name="прмтмиато" hidden="1">#REF!</definedName>
    <definedName name="рп" localSheetId="0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  <definedName name="рп" hidden="1">{#N/A,#N/A,FALSE,"REC";#N/A,#N/A,FALSE,"ASSETS";#N/A,#N/A,FALSE,"LIABILITIES";#N/A,#N/A,FALSE,"P&amp;L";#N/A,#N/A,FALSE,"FUNDS";#N/A,#N/A,FALSE,"CASH";#N/A,#N/A,FALSE,"1,2";#N/A,#N/A,FALSE,"3";#N/A,#N/A,FALSE,"4";#N/A,#N/A,FALSE,"5,6,7";#N/A,#N/A,FALSE,"8,9"}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60" i="6" l="1"/>
  <c r="K33" i="2" l="1"/>
  <c r="J33" i="2"/>
  <c r="I33" i="2"/>
  <c r="H33" i="2"/>
  <c r="G33" i="2"/>
  <c r="F33" i="2"/>
  <c r="E33" i="2"/>
  <c r="D33" i="2"/>
  <c r="H102" i="5"/>
  <c r="L91" i="5"/>
  <c r="L99" i="5" s="1"/>
  <c r="K91" i="5"/>
  <c r="K99" i="5" s="1"/>
  <c r="J91" i="5"/>
  <c r="J99" i="5" s="1"/>
  <c r="J101" i="5" s="1"/>
  <c r="I91" i="5"/>
  <c r="I99" i="5" s="1"/>
  <c r="I103" i="5" s="1"/>
  <c r="H91" i="5"/>
  <c r="H99" i="5" s="1"/>
  <c r="L88" i="5"/>
  <c r="K88" i="5"/>
  <c r="J88" i="5"/>
  <c r="I88" i="5"/>
  <c r="L87" i="5"/>
  <c r="K87" i="5"/>
  <c r="J87" i="5"/>
  <c r="I87" i="5"/>
  <c r="L86" i="5"/>
  <c r="K86" i="5"/>
  <c r="J86" i="5"/>
  <c r="I86" i="5"/>
  <c r="M85" i="5"/>
  <c r="L85" i="5"/>
  <c r="K85" i="5"/>
  <c r="J85" i="5"/>
  <c r="I85" i="5"/>
  <c r="M84" i="5"/>
  <c r="L84" i="5"/>
  <c r="K84" i="5"/>
  <c r="J84" i="5"/>
  <c r="I84" i="5"/>
  <c r="M82" i="5"/>
  <c r="L82" i="5"/>
  <c r="K82" i="5"/>
  <c r="J82" i="5"/>
  <c r="I82" i="5"/>
  <c r="H82" i="5"/>
  <c r="G82" i="5"/>
  <c r="F82" i="5"/>
  <c r="E82" i="5"/>
  <c r="D82" i="5"/>
  <c r="C82" i="5"/>
  <c r="M77" i="5"/>
  <c r="L77" i="5"/>
  <c r="K77" i="5"/>
  <c r="J77" i="5"/>
  <c r="I77" i="5"/>
  <c r="H77" i="5"/>
  <c r="G77" i="5"/>
  <c r="F77" i="5"/>
  <c r="E77" i="5"/>
  <c r="D77" i="5"/>
  <c r="C77" i="5"/>
  <c r="M72" i="5"/>
  <c r="L72" i="5"/>
  <c r="K72" i="5"/>
  <c r="J72" i="5"/>
  <c r="I72" i="5"/>
  <c r="H72" i="5"/>
  <c r="G72" i="5"/>
  <c r="F72" i="5"/>
  <c r="E72" i="5"/>
  <c r="D72" i="5"/>
  <c r="C72" i="5"/>
  <c r="L66" i="5"/>
  <c r="K66" i="5"/>
  <c r="J66" i="5"/>
  <c r="I66" i="5"/>
  <c r="H66" i="5"/>
  <c r="G66" i="5"/>
  <c r="E66" i="5"/>
  <c r="D66" i="5"/>
  <c r="C66" i="5"/>
  <c r="L65" i="5"/>
  <c r="I65" i="5"/>
  <c r="H65" i="5"/>
  <c r="F65" i="5"/>
  <c r="E65" i="5"/>
  <c r="D65" i="5"/>
  <c r="C65" i="5"/>
  <c r="L64" i="5"/>
  <c r="K64" i="5"/>
  <c r="J64" i="5"/>
  <c r="I64" i="5"/>
  <c r="G64" i="5"/>
  <c r="F64" i="5"/>
  <c r="E64" i="5"/>
  <c r="D64" i="5"/>
  <c r="C64" i="5"/>
  <c r="K61" i="5"/>
  <c r="K65" i="5" s="1"/>
  <c r="J53" i="5"/>
  <c r="J65" i="5" s="1"/>
  <c r="M39" i="5"/>
  <c r="L39" i="5"/>
  <c r="K39" i="5"/>
  <c r="J39" i="5"/>
  <c r="I39" i="5"/>
  <c r="H39" i="5"/>
  <c r="G39" i="5"/>
  <c r="F39" i="5"/>
  <c r="E39" i="5"/>
  <c r="D39" i="5"/>
  <c r="C39" i="5"/>
  <c r="M28" i="5"/>
  <c r="M32" i="5" s="1"/>
  <c r="L28" i="5"/>
  <c r="L32" i="5" s="1"/>
  <c r="K32" i="5"/>
  <c r="J32" i="5"/>
  <c r="M89" i="5" l="1"/>
  <c r="I89" i="5"/>
  <c r="L89" i="5"/>
  <c r="J89" i="5"/>
  <c r="J103" i="5"/>
  <c r="K101" i="5"/>
  <c r="K103" i="5"/>
  <c r="H101" i="5"/>
  <c r="H103" i="5"/>
  <c r="L101" i="5"/>
  <c r="L103" i="5"/>
  <c r="I101" i="5"/>
  <c r="K89" i="5"/>
  <c r="M54" i="6" l="1"/>
  <c r="M48" i="6"/>
  <c r="M42" i="6"/>
  <c r="M36" i="6"/>
  <c r="M12" i="6"/>
  <c r="M10" i="6"/>
  <c r="M8" i="6"/>
  <c r="M46" i="2"/>
  <c r="M59" i="2"/>
  <c r="M7" i="2"/>
  <c r="M18" i="2" s="1"/>
  <c r="J66" i="2" l="1"/>
  <c r="L59" i="2" l="1"/>
  <c r="L46" i="2"/>
  <c r="L7" i="2"/>
  <c r="L18" i="2" s="1"/>
  <c r="L117" i="5"/>
  <c r="K117" i="5"/>
  <c r="J117" i="5"/>
  <c r="I117" i="5"/>
  <c r="H117" i="5"/>
  <c r="G117" i="5"/>
  <c r="F117" i="5"/>
  <c r="E117" i="5"/>
  <c r="L116" i="5"/>
  <c r="K116" i="5"/>
  <c r="J116" i="5"/>
  <c r="I116" i="5"/>
  <c r="H116" i="5"/>
  <c r="G116" i="5"/>
  <c r="F116" i="5"/>
  <c r="E116" i="5"/>
  <c r="L115" i="5"/>
  <c r="K115" i="5"/>
  <c r="K114" i="5" s="1"/>
  <c r="J115" i="5"/>
  <c r="I115" i="5"/>
  <c r="H115" i="5"/>
  <c r="G115" i="5"/>
  <c r="G114" i="5" s="1"/>
  <c r="F115" i="5"/>
  <c r="F114" i="5" s="1"/>
  <c r="E115" i="5"/>
  <c r="E114" i="5" s="1"/>
  <c r="L113" i="5"/>
  <c r="K113" i="5"/>
  <c r="J113" i="5"/>
  <c r="I113" i="5"/>
  <c r="H113" i="5"/>
  <c r="G113" i="5"/>
  <c r="F113" i="5"/>
  <c r="E113" i="5"/>
  <c r="L109" i="5"/>
  <c r="K109" i="5"/>
  <c r="J109" i="5"/>
  <c r="I109" i="5"/>
  <c r="H109" i="5"/>
  <c r="G109" i="5"/>
  <c r="F109" i="5"/>
  <c r="J114" i="5" l="1"/>
  <c r="H114" i="5"/>
  <c r="L114" i="5"/>
  <c r="I114" i="5"/>
  <c r="L54" i="6" l="1"/>
  <c r="L48" i="6"/>
  <c r="L36" i="6"/>
  <c r="L12" i="6"/>
  <c r="L10" i="6"/>
  <c r="L8" i="6"/>
  <c r="L42" i="6"/>
  <c r="K59" i="2" l="1"/>
  <c r="K53" i="2"/>
  <c r="K46" i="2"/>
  <c r="K7" i="2"/>
  <c r="K18" i="2" s="1"/>
  <c r="J7" i="2"/>
  <c r="J18" i="2" s="1"/>
  <c r="D9" i="2"/>
  <c r="C9" i="2"/>
  <c r="K54" i="6"/>
  <c r="K48" i="6"/>
  <c r="K42" i="6"/>
  <c r="K36" i="6"/>
  <c r="K12" i="6"/>
  <c r="K10" i="6"/>
  <c r="K8" i="6"/>
  <c r="I59" i="2"/>
  <c r="I66" i="2"/>
  <c r="H66" i="2"/>
  <c r="G66" i="2"/>
  <c r="F66" i="2"/>
  <c r="E66" i="2"/>
  <c r="D66" i="2"/>
  <c r="C66" i="2"/>
  <c r="J12" i="6"/>
  <c r="J10" i="6"/>
  <c r="J8" i="6"/>
  <c r="J54" i="6"/>
  <c r="J48" i="6"/>
  <c r="J42" i="6"/>
  <c r="J36" i="6"/>
  <c r="J59" i="2"/>
  <c r="H59" i="2"/>
  <c r="F59" i="2"/>
  <c r="E59" i="2"/>
  <c r="D59" i="2"/>
  <c r="C59" i="2"/>
  <c r="J42" i="2"/>
  <c r="J46" i="2"/>
  <c r="I46" i="2"/>
  <c r="H46" i="2"/>
  <c r="G46" i="2"/>
  <c r="F46" i="2"/>
  <c r="C15" i="6"/>
  <c r="D15" i="6"/>
  <c r="E15" i="6"/>
  <c r="G15" i="6"/>
  <c r="H15" i="6"/>
  <c r="I54" i="6"/>
  <c r="H54" i="6"/>
  <c r="G54" i="6"/>
  <c r="F54" i="6"/>
  <c r="E54" i="6"/>
  <c r="D54" i="6"/>
  <c r="C54" i="6"/>
  <c r="I48" i="6"/>
  <c r="H48" i="6"/>
  <c r="G48" i="6"/>
  <c r="F48" i="6"/>
  <c r="E48" i="6"/>
  <c r="D48" i="6"/>
  <c r="C48" i="6"/>
  <c r="I42" i="6"/>
  <c r="H42" i="6"/>
  <c r="G42" i="6"/>
  <c r="F42" i="6"/>
  <c r="E42" i="6"/>
  <c r="D42" i="6"/>
  <c r="C42" i="6"/>
  <c r="I36" i="6"/>
  <c r="H36" i="6"/>
  <c r="G36" i="6"/>
  <c r="F36" i="6"/>
  <c r="E36" i="6"/>
  <c r="D36" i="6"/>
  <c r="C36" i="6"/>
  <c r="H6" i="6"/>
  <c r="H10" i="6" s="1"/>
  <c r="G6" i="6"/>
  <c r="G12" i="6" s="1"/>
  <c r="F6" i="6"/>
  <c r="F12" i="6" s="1"/>
  <c r="E6" i="6"/>
  <c r="E10" i="6" s="1"/>
  <c r="D6" i="6"/>
  <c r="D8" i="6" s="1"/>
  <c r="C6" i="6"/>
  <c r="C12" i="6" s="1"/>
  <c r="I12" i="6"/>
  <c r="I8" i="6"/>
  <c r="I10" i="6"/>
  <c r="I12" i="2"/>
  <c r="I10" i="2"/>
  <c r="D12" i="2"/>
  <c r="C12" i="2"/>
  <c r="C10" i="2"/>
  <c r="C46" i="2"/>
  <c r="D46" i="2"/>
  <c r="E46" i="2"/>
  <c r="H17" i="2"/>
  <c r="F10" i="6" l="1"/>
  <c r="D12" i="6"/>
  <c r="H8" i="6"/>
  <c r="E12" i="6"/>
  <c r="F8" i="6"/>
  <c r="H12" i="6"/>
  <c r="C8" i="6"/>
  <c r="E8" i="6"/>
  <c r="C10" i="6"/>
  <c r="G8" i="6"/>
  <c r="G10" i="6"/>
  <c r="D10" i="6"/>
</calcChain>
</file>

<file path=xl/sharedStrings.xml><?xml version="1.0" encoding="utf-8"?>
<sst xmlns="http://schemas.openxmlformats.org/spreadsheetml/2006/main" count="893" uniqueCount="284">
  <si>
    <t>%</t>
  </si>
  <si>
    <t xml:space="preserve">     Ni</t>
  </si>
  <si>
    <t>н/д</t>
  </si>
  <si>
    <t>Norilsk Nickel Harjavalta</t>
  </si>
  <si>
    <t>-</t>
  </si>
  <si>
    <t>AIR</t>
  </si>
  <si>
    <t>WATER</t>
  </si>
  <si>
    <t>Kola MMC</t>
  </si>
  <si>
    <t>kt</t>
  </si>
  <si>
    <t>t</t>
  </si>
  <si>
    <t>mln t</t>
  </si>
  <si>
    <t>PJSC MMC Norilsk Nickel</t>
  </si>
  <si>
    <t>RUB / USD</t>
  </si>
  <si>
    <t>USD mln</t>
  </si>
  <si>
    <t>GWh</t>
  </si>
  <si>
    <t>Unit</t>
  </si>
  <si>
    <t>Average rate for the year ended 31 December</t>
  </si>
  <si>
    <t>yes / no</t>
  </si>
  <si>
    <t>‘000 people</t>
  </si>
  <si>
    <t xml:space="preserve">     independent directors</t>
  </si>
  <si>
    <t xml:space="preserve">    non-executive directors</t>
  </si>
  <si>
    <t xml:space="preserve">    executive directors</t>
  </si>
  <si>
    <t>Years served on the Board of Directors</t>
  </si>
  <si>
    <t>&gt; 60 years old</t>
  </si>
  <si>
    <t>40-60 years old</t>
  </si>
  <si>
    <t>&lt; 40 years old</t>
  </si>
  <si>
    <t>Industry experience</t>
  </si>
  <si>
    <t>Budget Committee</t>
  </si>
  <si>
    <t>Strategy Committee</t>
  </si>
  <si>
    <t>Corporate Governance, Nomination and Remuneration Committee</t>
  </si>
  <si>
    <t>Share of independent directors</t>
  </si>
  <si>
    <t xml:space="preserve">   share of non-executive directors</t>
  </si>
  <si>
    <t xml:space="preserve">    in-person meeting</t>
  </si>
  <si>
    <t>Age of Directors</t>
  </si>
  <si>
    <t>Total Directors, including:</t>
  </si>
  <si>
    <t xml:space="preserve">    share of independent directors</t>
  </si>
  <si>
    <t xml:space="preserve">   share of executive directors</t>
  </si>
  <si>
    <t>Chairman of Committee - independent director</t>
  </si>
  <si>
    <t>Notes:</t>
  </si>
  <si>
    <t>LLC Inctitut Gypronickel</t>
  </si>
  <si>
    <t>Female</t>
  </si>
  <si>
    <t>Male</t>
  </si>
  <si>
    <t xml:space="preserve">    Russia</t>
  </si>
  <si>
    <t xml:space="preserve">Share of reused and recycled water </t>
  </si>
  <si>
    <t xml:space="preserve">WASTE </t>
  </si>
  <si>
    <t>Waste generation</t>
  </si>
  <si>
    <t>Air</t>
  </si>
  <si>
    <t>Water</t>
  </si>
  <si>
    <t>Waste</t>
  </si>
  <si>
    <t>Total air pollutant emissions, including:</t>
  </si>
  <si>
    <t>Industrial water</t>
  </si>
  <si>
    <t xml:space="preserve">Pollutants in industrial water, including: </t>
  </si>
  <si>
    <t>Water consumption</t>
  </si>
  <si>
    <t>Waste disposal</t>
  </si>
  <si>
    <t>Electric power consumption</t>
  </si>
  <si>
    <t>Energy consumption for heating /cooling</t>
  </si>
  <si>
    <t>Steam consumption</t>
  </si>
  <si>
    <t>Environmental policy</t>
  </si>
  <si>
    <t>Charter</t>
  </si>
  <si>
    <t>Quality policy</t>
  </si>
  <si>
    <t>Regulations on General Meeting of Shareholders</t>
  </si>
  <si>
    <t>Regulations on the Board of Directors</t>
  </si>
  <si>
    <t>Code of Conduct and Ethics for Members of Board of Directors</t>
  </si>
  <si>
    <t>Regulations on the Management Board</t>
  </si>
  <si>
    <t>Regulations on the Audit Commission</t>
  </si>
  <si>
    <t>Professional Development Policy for Members of Board of Directors</t>
  </si>
  <si>
    <t>Performance Evaluation Policy for Board of Directors</t>
  </si>
  <si>
    <t>Remuneration Policy for Members of Board of Directors</t>
  </si>
  <si>
    <t>Regulations on Dividend Policy</t>
  </si>
  <si>
    <t>Anti-Corruption Policy</t>
  </si>
  <si>
    <t>Occupational Health and Safety Policy</t>
  </si>
  <si>
    <t>Freedom of Association Policy</t>
  </si>
  <si>
    <t>Human Rights Policy</t>
  </si>
  <si>
    <t>Working Conditions Policy</t>
  </si>
  <si>
    <t>Local Community Relations Policy</t>
  </si>
  <si>
    <t xml:space="preserve">    Europe</t>
  </si>
  <si>
    <t xml:space="preserve">    Africa</t>
  </si>
  <si>
    <t xml:space="preserve">    North America</t>
  </si>
  <si>
    <t xml:space="preserve">    Australia</t>
  </si>
  <si>
    <t xml:space="preserve">    Asia</t>
  </si>
  <si>
    <t>Murmansk Region</t>
  </si>
  <si>
    <t>Moscow and other regions of Russia</t>
  </si>
  <si>
    <t>Personnel training</t>
  </si>
  <si>
    <t>Average salary</t>
  </si>
  <si>
    <t>Social partnership</t>
  </si>
  <si>
    <t>HEALTH AND SAFETY</t>
  </si>
  <si>
    <t>ENVIRONMENTAL EXPENSES</t>
  </si>
  <si>
    <t>Environmental expenses</t>
  </si>
  <si>
    <t>ENVIRONMENTAL IMPACT OF NORILSK NICKEL HARJAVALTA</t>
  </si>
  <si>
    <t>Equal Opportunities Programme</t>
  </si>
  <si>
    <t xml:space="preserve">Regulations on the Corporate Governance, Nomination and Remuneration Committee </t>
  </si>
  <si>
    <t xml:space="preserve"> '000 RUB </t>
  </si>
  <si>
    <t xml:space="preserve"> '000 USD</t>
  </si>
  <si>
    <t>n/a</t>
  </si>
  <si>
    <t>no</t>
  </si>
  <si>
    <t>yes</t>
  </si>
  <si>
    <t xml:space="preserve">Energy efficiency </t>
  </si>
  <si>
    <t>Krasnoyarsk Region</t>
  </si>
  <si>
    <t>Average monthly salary</t>
  </si>
  <si>
    <t>Employees represented in social-labor councils</t>
  </si>
  <si>
    <t>Employees trained</t>
  </si>
  <si>
    <t>times</t>
  </si>
  <si>
    <t>Meetings of the Board of Directors, including:</t>
  </si>
  <si>
    <t>Meetings of the Committee</t>
  </si>
  <si>
    <t>Meetings of the Management Board</t>
  </si>
  <si>
    <t>Members</t>
  </si>
  <si>
    <t>Females</t>
  </si>
  <si>
    <t>MAIN CORPORATE REGULATIONS AND POLICIES</t>
  </si>
  <si>
    <t>Share of non-audit services</t>
  </si>
  <si>
    <t>FEE OF EXTERNAL AUDITOR</t>
  </si>
  <si>
    <t>Regulations on Audit and Sustainable Development Committee</t>
  </si>
  <si>
    <t>Antitraust Compliance Policy</t>
  </si>
  <si>
    <t>ESG DATA BOOK OF NORILSK NICKEL GROUP</t>
  </si>
  <si>
    <t>Investor Relations Department</t>
  </si>
  <si>
    <t>Phone: +7 495 786 83 20</t>
  </si>
  <si>
    <r>
      <t xml:space="preserve">E-mail: </t>
    </r>
    <r>
      <rPr>
        <u/>
        <sz val="12"/>
        <color rgb="FF2E75B6"/>
        <rFont val="Tahoma"/>
        <family val="2"/>
        <charset val="204"/>
      </rPr>
      <t>ir@nornik.ru</t>
    </r>
  </si>
  <si>
    <t>ENVIRONMENT</t>
  </si>
  <si>
    <t>SOCIAL</t>
  </si>
  <si>
    <t>GOVERNANCE</t>
  </si>
  <si>
    <t>Audit and Sustainable Development Committee</t>
  </si>
  <si>
    <t>Indigenous Rights Policy</t>
  </si>
  <si>
    <t>Biodiversity Policy</t>
  </si>
  <si>
    <t>Environmental Impact Assessment Policy</t>
  </si>
  <si>
    <t>Renewable Energy Sources Policy</t>
  </si>
  <si>
    <t>TJ</t>
  </si>
  <si>
    <t>Chita region</t>
  </si>
  <si>
    <t>Menu</t>
  </si>
  <si>
    <t>Companies</t>
  </si>
  <si>
    <t xml:space="preserve"> Standards</t>
  </si>
  <si>
    <t>CERTIFICATES</t>
  </si>
  <si>
    <t>Environmental Indicators</t>
  </si>
  <si>
    <t xml:space="preserve"> Social Indicators</t>
  </si>
  <si>
    <t>natural gas</t>
  </si>
  <si>
    <t>coal</t>
  </si>
  <si>
    <t>diesel and fuel oils</t>
  </si>
  <si>
    <t>gasoline and aviation fuel</t>
  </si>
  <si>
    <t>Norilsk Region</t>
  </si>
  <si>
    <r>
      <t xml:space="preserve">MANAGEMENT BOARD </t>
    </r>
    <r>
      <rPr>
        <b/>
        <vertAlign val="superscript"/>
        <sz val="10"/>
        <color rgb="FFC00000"/>
        <rFont val="Tahoma"/>
        <family val="2"/>
        <charset val="204"/>
      </rPr>
      <t>1</t>
    </r>
  </si>
  <si>
    <t>&lt; 3 years</t>
  </si>
  <si>
    <t>3-5 years</t>
  </si>
  <si>
    <t>&gt; 5 years</t>
  </si>
  <si>
    <t>Strategy</t>
  </si>
  <si>
    <t>Law and corporate governance</t>
  </si>
  <si>
    <t>Finance and audit</t>
  </si>
  <si>
    <t>Mining and engineering</t>
  </si>
  <si>
    <t>International economic relations</t>
  </si>
  <si>
    <t>Employees covered by collective bargaining agreement</t>
  </si>
  <si>
    <r>
      <rPr>
        <b/>
        <i/>
        <vertAlign val="superscript"/>
        <sz val="9"/>
        <color rgb="FFC00000"/>
        <rFont val="Tahoma"/>
        <family val="2"/>
        <charset val="204"/>
      </rPr>
      <t>4</t>
    </r>
    <r>
      <rPr>
        <i/>
        <sz val="9"/>
        <color theme="1"/>
        <rFont val="Tahoma"/>
        <family val="2"/>
        <charset val="204"/>
      </rPr>
      <t xml:space="preserve"> Indicators have been monitored since 2013:
FIFR (Fatal-Injury Frequency Rate) - number of fatalities / actual hours worked by all employees * 1 000 000
LTIFR (Lost Time Injury Frequency Rate) – lost workdays due to injuries (excluding fatal) / actual hours worked by all employees * 1 000 000</t>
    </r>
  </si>
  <si>
    <r>
      <rPr>
        <b/>
        <i/>
        <vertAlign val="superscript"/>
        <sz val="9"/>
        <color rgb="FFC00000"/>
        <rFont val="Tahoma"/>
        <family val="2"/>
        <charset val="204"/>
      </rPr>
      <t>5</t>
    </r>
    <r>
      <rPr>
        <i/>
        <sz val="9"/>
        <color theme="1"/>
        <rFont val="Tahoma"/>
        <family val="2"/>
        <charset val="204"/>
      </rPr>
      <t xml:space="preserve"> Excluding contractors.
</t>
    </r>
  </si>
  <si>
    <r>
      <rPr>
        <b/>
        <i/>
        <vertAlign val="superscript"/>
        <sz val="9"/>
        <color rgb="FFC00000"/>
        <rFont val="Tahoma"/>
        <family val="2"/>
        <charset val="204"/>
      </rPr>
      <t>1</t>
    </r>
    <r>
      <rPr>
        <i/>
        <sz val="9"/>
        <color theme="1"/>
        <rFont val="Tahoma"/>
        <family val="2"/>
        <charset val="204"/>
      </rPr>
      <t xml:space="preserve"> The indicators are given at the end of the year.</t>
    </r>
  </si>
  <si>
    <r>
      <rPr>
        <b/>
        <i/>
        <vertAlign val="superscript"/>
        <sz val="9"/>
        <color rgb="FFC00000"/>
        <rFont val="Tahoma"/>
        <family val="2"/>
        <charset val="204"/>
      </rPr>
      <t>1</t>
    </r>
    <r>
      <rPr>
        <i/>
        <sz val="9"/>
        <color theme="1"/>
        <rFont val="Tahoma"/>
        <family val="2"/>
        <charset val="204"/>
      </rPr>
      <t xml:space="preserve"> Russian divisions and subsidiaries.</t>
    </r>
  </si>
  <si>
    <t xml:space="preserve">Environmental expenses </t>
  </si>
  <si>
    <t>Environmental damage compensation and emission fee</t>
  </si>
  <si>
    <t xml:space="preserve">  Metals and mining</t>
  </si>
  <si>
    <t xml:space="preserve">  Construction and repair</t>
  </si>
  <si>
    <t xml:space="preserve">  Transport </t>
  </si>
  <si>
    <t xml:space="preserve">  Research and development</t>
  </si>
  <si>
    <t xml:space="preserve">  Others</t>
  </si>
  <si>
    <t xml:space="preserve">  Energy and utilities</t>
  </si>
  <si>
    <t>ISO 9001:2015
ISO 14001:2015
OHSAS 18001:2007</t>
  </si>
  <si>
    <t>ISO 9001:2015</t>
  </si>
  <si>
    <t xml:space="preserve">    Scope 2</t>
  </si>
  <si>
    <t xml:space="preserve">  Polar Division and Norilskenergo</t>
  </si>
  <si>
    <t xml:space="preserve">  Kola MMC</t>
  </si>
  <si>
    <t xml:space="preserve">  Other divisions and subsidiaries</t>
  </si>
  <si>
    <t xml:space="preserve">EXCHANGE RATES USED FOR CALCULATION </t>
  </si>
  <si>
    <t xml:space="preserve">  1. Fuels consumption</t>
  </si>
  <si>
    <t xml:space="preserve">  2. Energy from own renewable fuels (HPP)</t>
  </si>
  <si>
    <t xml:space="preserve">  4. Energy sold to 3rd parties</t>
  </si>
  <si>
    <t xml:space="preserve">  3. Energy bought from 3rd parties</t>
  </si>
  <si>
    <t>The share of renewable sources in total electricity &amp; fuels consumption</t>
  </si>
  <si>
    <t>Electricity (includng sold to 3rd parties)</t>
  </si>
  <si>
    <t>The share of renewable sources in electricity consumption</t>
  </si>
  <si>
    <t>The share of  natural gas in electricity &amp; fuels consumption</t>
  </si>
  <si>
    <t xml:space="preserve">PRODUCTION AND CONSUMPTION OF ELECTRICITY AND FUELS </t>
  </si>
  <si>
    <r>
      <t xml:space="preserve">    NH</t>
    </r>
    <r>
      <rPr>
        <i/>
        <vertAlign val="subscript"/>
        <sz val="10"/>
        <rFont val="Tahoma"/>
        <family val="2"/>
        <charset val="204"/>
      </rPr>
      <t>3</t>
    </r>
  </si>
  <si>
    <r>
      <t xml:space="preserve">    SO</t>
    </r>
    <r>
      <rPr>
        <i/>
        <vertAlign val="superscript"/>
        <sz val="10"/>
        <color theme="1"/>
        <rFont val="Tahoma"/>
        <family val="2"/>
        <charset val="204"/>
      </rPr>
      <t>2-</t>
    </r>
    <r>
      <rPr>
        <i/>
        <vertAlign val="subscript"/>
        <sz val="10"/>
        <color theme="1"/>
        <rFont val="Tahoma"/>
        <family val="2"/>
        <charset val="204"/>
      </rPr>
      <t>4</t>
    </r>
  </si>
  <si>
    <r>
      <t xml:space="preserve">    NH</t>
    </r>
    <r>
      <rPr>
        <i/>
        <vertAlign val="subscript"/>
        <sz val="10"/>
        <rFont val="Tahoma"/>
        <family val="2"/>
        <charset val="204"/>
      </rPr>
      <t>4</t>
    </r>
    <r>
      <rPr>
        <i/>
        <sz val="10"/>
        <rFont val="Tahoma"/>
        <family val="2"/>
        <charset val="204"/>
      </rPr>
      <t xml:space="preserve"> (converted to nitrogen)</t>
    </r>
  </si>
  <si>
    <r>
      <t xml:space="preserve">Health and safety expenses </t>
    </r>
    <r>
      <rPr>
        <b/>
        <vertAlign val="superscript"/>
        <sz val="10"/>
        <color rgb="FFC00000"/>
        <rFont val="Tahoma"/>
        <family val="2"/>
        <charset val="204"/>
      </rPr>
      <t>2</t>
    </r>
  </si>
  <si>
    <r>
      <t>mln m</t>
    </r>
    <r>
      <rPr>
        <vertAlign val="superscript"/>
        <sz val="10"/>
        <rFont val="Tahoma"/>
        <family val="2"/>
        <charset val="204"/>
      </rPr>
      <t>3</t>
    </r>
  </si>
  <si>
    <r>
      <t>mln m</t>
    </r>
    <r>
      <rPr>
        <i/>
        <vertAlign val="superscript"/>
        <sz val="10"/>
        <rFont val="Tahoma"/>
        <family val="2"/>
        <charset val="204"/>
      </rPr>
      <t>3</t>
    </r>
  </si>
  <si>
    <r>
      <t xml:space="preserve"> '000 m</t>
    </r>
    <r>
      <rPr>
        <vertAlign val="superscript"/>
        <sz val="10"/>
        <rFont val="Tahoma"/>
        <family val="2"/>
        <charset val="204"/>
      </rPr>
      <t>3</t>
    </r>
  </si>
  <si>
    <r>
      <t xml:space="preserve">Employee turnover </t>
    </r>
    <r>
      <rPr>
        <b/>
        <vertAlign val="superscript"/>
        <sz val="10"/>
        <color rgb="FFC00000"/>
        <rFont val="Tahoma"/>
        <family val="2"/>
        <charset val="204"/>
      </rPr>
      <t>1</t>
    </r>
  </si>
  <si>
    <r>
      <t xml:space="preserve">Average salary </t>
    </r>
    <r>
      <rPr>
        <b/>
        <vertAlign val="superscript"/>
        <sz val="10"/>
        <color rgb="FFC00000"/>
        <rFont val="Tahoma"/>
        <family val="2"/>
        <charset val="204"/>
      </rPr>
      <t>2</t>
    </r>
  </si>
  <si>
    <r>
      <t xml:space="preserve">Industrial accidents, including: </t>
    </r>
    <r>
      <rPr>
        <b/>
        <vertAlign val="superscript"/>
        <sz val="10"/>
        <color rgb="FFC00000"/>
        <rFont val="Tahoma"/>
        <family val="2"/>
        <charset val="204"/>
      </rPr>
      <t>5</t>
    </r>
  </si>
  <si>
    <r>
      <rPr>
        <b/>
        <i/>
        <vertAlign val="superscript"/>
        <sz val="9"/>
        <color rgb="FFC00000"/>
        <rFont val="Tahoma"/>
        <family val="2"/>
        <charset val="204"/>
      </rPr>
      <t>1</t>
    </r>
    <r>
      <rPr>
        <i/>
        <sz val="9"/>
        <color indexed="63"/>
        <rFont val="Tahoma"/>
        <family val="2"/>
        <charset val="204"/>
      </rPr>
      <t xml:space="preserve"> </t>
    </r>
    <r>
      <rPr>
        <i/>
        <sz val="9"/>
        <rFont val="Tahoma"/>
        <family val="2"/>
        <charset val="204"/>
      </rPr>
      <t>The ratio of voluntary resignations, dismissals for breach of labour discipline and negotiated terminations to the annual average headcount.</t>
    </r>
  </si>
  <si>
    <r>
      <rPr>
        <b/>
        <i/>
        <vertAlign val="superscript"/>
        <sz val="9"/>
        <color rgb="FFC00000"/>
        <rFont val="Tahoma"/>
        <family val="2"/>
        <charset val="204"/>
      </rPr>
      <t>2</t>
    </r>
    <r>
      <rPr>
        <i/>
        <sz val="9"/>
        <color indexed="63"/>
        <rFont val="Tahoma"/>
        <family val="2"/>
        <charset val="204"/>
      </rPr>
      <t xml:space="preserve"> </t>
    </r>
    <r>
      <rPr>
        <i/>
        <sz val="9"/>
        <rFont val="Tahoma"/>
        <family val="2"/>
        <charset val="204"/>
      </rPr>
      <t>Based on the annual average USD/RUB exchange rate.</t>
    </r>
  </si>
  <si>
    <r>
      <rPr>
        <b/>
        <i/>
        <vertAlign val="superscript"/>
        <sz val="9"/>
        <color rgb="FFC00000"/>
        <rFont val="Tahoma"/>
        <family val="2"/>
        <charset val="204"/>
      </rPr>
      <t>3</t>
    </r>
    <r>
      <rPr>
        <i/>
        <sz val="9"/>
        <color indexed="63"/>
        <rFont val="Tahoma"/>
        <family val="2"/>
        <charset val="204"/>
      </rPr>
      <t xml:space="preserve"> </t>
    </r>
    <r>
      <rPr>
        <i/>
        <sz val="9"/>
        <rFont val="Tahoma"/>
        <family val="2"/>
        <charset val="204"/>
      </rPr>
      <t>Including airfare.</t>
    </r>
  </si>
  <si>
    <r>
      <t xml:space="preserve">FIFR </t>
    </r>
    <r>
      <rPr>
        <b/>
        <vertAlign val="superscript"/>
        <sz val="10"/>
        <color rgb="FFC00000"/>
        <rFont val="Tahoma"/>
        <family val="2"/>
        <charset val="204"/>
      </rPr>
      <t xml:space="preserve">4 </t>
    </r>
  </si>
  <si>
    <r>
      <t xml:space="preserve">LTIFR </t>
    </r>
    <r>
      <rPr>
        <b/>
        <vertAlign val="superscript"/>
        <sz val="10"/>
        <color rgb="FFC00000"/>
        <rFont val="Tahoma"/>
        <family val="2"/>
        <charset val="204"/>
      </rPr>
      <t>4</t>
    </r>
  </si>
  <si>
    <r>
      <rPr>
        <sz val="10"/>
        <rFont val="Tahoma"/>
        <family val="2"/>
        <charset val="204"/>
      </rPr>
      <t>Auditor's fee</t>
    </r>
    <r>
      <rPr>
        <sz val="10"/>
        <color indexed="63"/>
        <rFont val="Tahoma"/>
        <family val="2"/>
        <charset val="204"/>
      </rPr>
      <t xml:space="preserve"> </t>
    </r>
    <r>
      <rPr>
        <b/>
        <vertAlign val="superscript"/>
        <sz val="10"/>
        <color rgb="FFC00000"/>
        <rFont val="Tahoma"/>
        <family val="2"/>
        <charset val="204"/>
      </rPr>
      <t>2</t>
    </r>
  </si>
  <si>
    <r>
      <rPr>
        <b/>
        <i/>
        <vertAlign val="superscript"/>
        <sz val="9"/>
        <color rgb="FFC00000"/>
        <rFont val="Tahoma"/>
        <family val="2"/>
        <charset val="204"/>
      </rPr>
      <t>5</t>
    </r>
    <r>
      <rPr>
        <i/>
        <sz val="9"/>
        <color indexed="63"/>
        <rFont val="Tahoma"/>
        <family val="2"/>
        <charset val="204"/>
      </rPr>
      <t xml:space="preserve"> </t>
    </r>
    <r>
      <rPr>
        <i/>
        <sz val="9"/>
        <rFont val="Tahoma"/>
        <family val="2"/>
        <charset val="204"/>
      </rPr>
      <t>Based on the annual average USD/RUB exchange rate.</t>
    </r>
  </si>
  <si>
    <r>
      <t xml:space="preserve">Environmental expenses </t>
    </r>
    <r>
      <rPr>
        <b/>
        <vertAlign val="superscript"/>
        <sz val="10"/>
        <color rgb="FFC00000"/>
        <rFont val="Tahoma"/>
        <family val="2"/>
        <charset val="204"/>
      </rPr>
      <t>1,5</t>
    </r>
  </si>
  <si>
    <t xml:space="preserve">per million hours worked </t>
  </si>
  <si>
    <t>Data period: 2010-2020</t>
  </si>
  <si>
    <t>ISO 9001:2015
ISO 14001:2015
ISO 45001</t>
  </si>
  <si>
    <t>ISO/IEC 27001:2013</t>
  </si>
  <si>
    <t>Polar Division</t>
  </si>
  <si>
    <t>Other divisions and subsidiaries</t>
  </si>
  <si>
    <r>
      <t xml:space="preserve">Total Group </t>
    </r>
    <r>
      <rPr>
        <b/>
        <vertAlign val="superscript"/>
        <sz val="10"/>
        <color rgb="FFC00000"/>
        <rFont val="Tahoma"/>
        <family val="2"/>
        <charset val="204"/>
      </rPr>
      <t>1</t>
    </r>
  </si>
  <si>
    <r>
      <t xml:space="preserve">  sulphur dioxide (SO</t>
    </r>
    <r>
      <rPr>
        <i/>
        <vertAlign val="subscript"/>
        <sz val="10"/>
        <color indexed="8"/>
        <rFont val="Tahoma"/>
        <family val="2"/>
        <charset val="204"/>
      </rPr>
      <t>2</t>
    </r>
    <r>
      <rPr>
        <i/>
        <sz val="10"/>
        <color indexed="8"/>
        <rFont val="Tahoma"/>
        <family val="2"/>
        <charset val="204"/>
      </rPr>
      <t>)</t>
    </r>
  </si>
  <si>
    <t xml:space="preserve">  nitrogen oxide (NОx)</t>
  </si>
  <si>
    <t xml:space="preserve">  solids</t>
  </si>
  <si>
    <t xml:space="preserve">  other</t>
  </si>
  <si>
    <t xml:space="preserve">mln t СО2 </t>
  </si>
  <si>
    <t xml:space="preserve">    Scope 1</t>
  </si>
  <si>
    <r>
      <rPr>
        <b/>
        <i/>
        <vertAlign val="superscript"/>
        <sz val="9"/>
        <color rgb="FFC00000"/>
        <rFont val="Tahoma"/>
        <family val="2"/>
        <charset val="204"/>
      </rPr>
      <t>2</t>
    </r>
    <r>
      <rPr>
        <i/>
        <sz val="9"/>
        <color theme="1"/>
        <rFont val="Tahoma"/>
        <family val="2"/>
        <charset val="204"/>
      </rPr>
      <t xml:space="preserve"> GHG emissions were calculated as per the GHG Protocol Guidelines. When calculating GHG emissions across the Group, the following greenhouse gases were taken into account: carbon oxide (CO2), nitrogen oxide (N2O) and methane (CH4). Direct methane emissions (coming mostly from gas transportation units) represent a small share of total emissions and amount to about 150 ktpa of CO2 equivalent. Based on the inventory results, the data for 2018 and 2019 were recalculated in 2020.</t>
    </r>
  </si>
  <si>
    <t>Water consumption, including:</t>
  </si>
  <si>
    <t>Water withdrawal, including:</t>
  </si>
  <si>
    <r>
      <t xml:space="preserve">Total Group </t>
    </r>
    <r>
      <rPr>
        <b/>
        <vertAlign val="superscript"/>
        <sz val="10"/>
        <color rgb="FFC00000"/>
        <rFont val="Tahoma"/>
        <family val="2"/>
        <charset val="204"/>
      </rPr>
      <t>1,3</t>
    </r>
  </si>
  <si>
    <t>Wastewater discharge, including:</t>
  </si>
  <si>
    <t xml:space="preserve">   wastewater discharge</t>
  </si>
  <si>
    <t xml:space="preserve"> Polar Division and Norilskenergo</t>
  </si>
  <si>
    <t xml:space="preserve"> Kola MMC</t>
  </si>
  <si>
    <t xml:space="preserve"> Other divisions and subsidiaries</t>
  </si>
  <si>
    <t xml:space="preserve">purified to standard quality and water clean </t>
  </si>
  <si>
    <t xml:space="preserve">   pollutans discharged as part of the wastewater</t>
  </si>
  <si>
    <t>Waste generation, incluging:</t>
  </si>
  <si>
    <t>Waste utilization at own facilities, including:</t>
  </si>
  <si>
    <t>Waste storage at own waste disposal sites,  including:</t>
  </si>
  <si>
    <t xml:space="preserve"> 1 hazard class </t>
  </si>
  <si>
    <t xml:space="preserve"> 2 hazard class </t>
  </si>
  <si>
    <t xml:space="preserve"> 3 hazard class </t>
  </si>
  <si>
    <t xml:space="preserve"> 4 hazard class </t>
  </si>
  <si>
    <t xml:space="preserve"> 5 hazard class </t>
  </si>
  <si>
    <r>
      <rPr>
        <b/>
        <i/>
        <vertAlign val="superscript"/>
        <sz val="9"/>
        <color rgb="FFC00000"/>
        <rFont val="Tahoma"/>
        <family val="2"/>
        <charset val="204"/>
      </rPr>
      <t>3</t>
    </r>
    <r>
      <rPr>
        <i/>
        <sz val="9"/>
        <color indexed="63"/>
        <rFont val="Tahoma"/>
        <family val="2"/>
        <charset val="204"/>
      </rPr>
      <t xml:space="preserve"> Excluding water withdrawal from NTEK</t>
    </r>
  </si>
  <si>
    <r>
      <rPr>
        <b/>
        <i/>
        <vertAlign val="superscript"/>
        <sz val="9"/>
        <color rgb="FFC00000"/>
        <rFont val="Tahoma"/>
        <family val="2"/>
        <charset val="204"/>
      </rPr>
      <t xml:space="preserve">4 </t>
    </r>
    <r>
      <rPr>
        <i/>
        <sz val="9"/>
        <rFont val="Tahoma"/>
        <family val="2"/>
        <charset val="204"/>
      </rPr>
      <t>Including the diesel fuel spill in May 2020.</t>
    </r>
  </si>
  <si>
    <r>
      <t xml:space="preserve">Electricity &amp; fuels consumption (1+2+3-4), total Group </t>
    </r>
    <r>
      <rPr>
        <b/>
        <vertAlign val="superscript"/>
        <sz val="10"/>
        <color rgb="FFC00000"/>
        <rFont val="Tahoma"/>
        <family val="2"/>
        <charset val="204"/>
      </rPr>
      <t>1</t>
    </r>
  </si>
  <si>
    <r>
      <t xml:space="preserve">13 939 </t>
    </r>
    <r>
      <rPr>
        <b/>
        <i/>
        <vertAlign val="superscript"/>
        <sz val="10"/>
        <color rgb="FFC00000"/>
        <rFont val="Tahoma"/>
        <family val="2"/>
        <charset val="204"/>
      </rPr>
      <t>4</t>
    </r>
  </si>
  <si>
    <t>PJSC MMC Norilsk Nickel (Murmansk Transport Division, Nadezhda Metallurgical Plant, Copper Plant)</t>
  </si>
  <si>
    <t>Expenses for improving working conditions and safety</t>
  </si>
  <si>
    <t>mln USD</t>
  </si>
  <si>
    <r>
      <t xml:space="preserve">Corporate Governance </t>
    </r>
    <r>
      <rPr>
        <b/>
        <vertAlign val="superscript"/>
        <sz val="12"/>
        <color theme="0"/>
        <rFont val="Tahoma"/>
        <family val="2"/>
        <charset val="204"/>
      </rPr>
      <t>1</t>
    </r>
  </si>
  <si>
    <t xml:space="preserve">BOAD OF DIRECTORS </t>
  </si>
  <si>
    <r>
      <t>COMMITTEES OF THE BOARD OF DIRECTORS</t>
    </r>
    <r>
      <rPr>
        <b/>
        <sz val="10"/>
        <color rgb="FFC00000"/>
        <rFont val="Tahoma"/>
        <family val="2"/>
        <charset val="204"/>
      </rPr>
      <t xml:space="preserve"> </t>
    </r>
  </si>
  <si>
    <t>Business Ethics Code</t>
  </si>
  <si>
    <t>Information Policy</t>
  </si>
  <si>
    <t>Social expenses for employees, including:</t>
  </si>
  <si>
    <r>
      <t xml:space="preserve">Total expenses </t>
    </r>
    <r>
      <rPr>
        <b/>
        <vertAlign val="superscript"/>
        <sz val="10"/>
        <color rgb="FFC00000"/>
        <rFont val="Tahoma"/>
        <family val="2"/>
        <charset val="204"/>
      </rPr>
      <t>2</t>
    </r>
  </si>
  <si>
    <t>Environmental Task Team</t>
  </si>
  <si>
    <t>Chairman of the ETT - independent director</t>
  </si>
  <si>
    <t>Meetings of the ETT</t>
  </si>
  <si>
    <t>Air emissions</t>
  </si>
  <si>
    <r>
      <t>Greenhouse gas emissions (GHG)</t>
    </r>
    <r>
      <rPr>
        <b/>
        <vertAlign val="superscript"/>
        <sz val="10"/>
        <color rgb="FFC00000"/>
        <rFont val="Tahoma"/>
        <family val="2"/>
        <charset val="204"/>
      </rPr>
      <t>2</t>
    </r>
  </si>
  <si>
    <t>operations</t>
  </si>
  <si>
    <t>local communities (social infrastructure and households)</t>
  </si>
  <si>
    <t>Group Scope 3 downstream emissions</t>
  </si>
  <si>
    <r>
      <t xml:space="preserve">  sulphur dioxide (SO</t>
    </r>
    <r>
      <rPr>
        <b/>
        <i/>
        <vertAlign val="subscript"/>
        <sz val="10"/>
        <color indexed="8"/>
        <rFont val="Tahoma"/>
        <family val="2"/>
        <charset val="204"/>
      </rPr>
      <t>2</t>
    </r>
    <r>
      <rPr>
        <b/>
        <i/>
        <sz val="10"/>
        <color indexed="8"/>
        <rFont val="Tahoma"/>
        <family val="2"/>
        <charset val="204"/>
      </rPr>
      <t>)</t>
    </r>
  </si>
  <si>
    <t>Group Scope 1&amp;2 emissions</t>
  </si>
  <si>
    <t>Total Group</t>
  </si>
  <si>
    <r>
      <t xml:space="preserve">Waste generation by hazard class </t>
    </r>
    <r>
      <rPr>
        <b/>
        <vertAlign val="superscript"/>
        <sz val="10"/>
        <color rgb="FFC00000"/>
        <rFont val="Tahoma"/>
        <family val="2"/>
        <charset val="204"/>
      </rPr>
      <t>1</t>
    </r>
  </si>
  <si>
    <t>number of people</t>
  </si>
  <si>
    <t>Total Group average headcount</t>
  </si>
  <si>
    <t>PERSONNEL AND SOCIAL PROGRAMMES</t>
  </si>
  <si>
    <t>Group headcount by sector</t>
  </si>
  <si>
    <t>Average headcount as of year-end:</t>
  </si>
  <si>
    <t>Group employees' gender profile</t>
  </si>
  <si>
    <t>Group employees' education level</t>
  </si>
  <si>
    <t>Group personnel breakdown by position</t>
  </si>
  <si>
    <t>Average annual employee turnover</t>
  </si>
  <si>
    <t>Voluntary turnover (as % of  the average headcount)</t>
  </si>
  <si>
    <t>Employees - members of trade unions</t>
  </si>
  <si>
    <r>
      <t xml:space="preserve">Spending on personnel training </t>
    </r>
    <r>
      <rPr>
        <b/>
        <vertAlign val="superscript"/>
        <sz val="10"/>
        <color rgb="FFC00000"/>
        <rFont val="Tahoma"/>
        <family val="2"/>
        <charset val="204"/>
      </rPr>
      <t>2</t>
    </r>
  </si>
  <si>
    <t>Total social expenses (incl charity)</t>
  </si>
  <si>
    <t>Group health and safety performance</t>
  </si>
  <si>
    <t># of people</t>
  </si>
  <si>
    <t>Total Directors, of which:</t>
  </si>
  <si>
    <t>Managers, including:</t>
  </si>
  <si>
    <t>White-collar employees, including:</t>
  </si>
  <si>
    <t xml:space="preserve">  female </t>
  </si>
  <si>
    <t>Blue-collar employees, including:</t>
  </si>
  <si>
    <r>
      <t xml:space="preserve">  Health resort treatment (inc. family members) </t>
    </r>
    <r>
      <rPr>
        <b/>
        <vertAlign val="superscript"/>
        <sz val="10"/>
        <color rgb="FFC00000"/>
        <rFont val="Tahoma"/>
        <family val="2"/>
        <charset val="204"/>
      </rPr>
      <t>3</t>
    </r>
  </si>
  <si>
    <t xml:space="preserve">  Pension plans</t>
  </si>
  <si>
    <t xml:space="preserve">  Housing programmes</t>
  </si>
  <si>
    <t xml:space="preserve">  Other social expenses </t>
  </si>
  <si>
    <t>Higher education</t>
  </si>
  <si>
    <t>Basic vocational education</t>
  </si>
  <si>
    <t>General education</t>
  </si>
  <si>
    <t>Others</t>
  </si>
  <si>
    <t xml:space="preserve">   temporary disability</t>
  </si>
  <si>
    <t xml:space="preserve">   fatal</t>
  </si>
  <si>
    <t>Sustainable development</t>
  </si>
  <si>
    <t xml:space="preserve">   independent directors</t>
  </si>
  <si>
    <t xml:space="preserve">Industrial аccident among the contractors, including: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</si>
</sst>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"/>
    <numFmt numFmtId="166" formatCode="0.000"/>
    <numFmt numFmtId="167" formatCode="0.0%"/>
  </numFmts>
  <fonts count="7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u/>
      <sz val="10"/>
      <color theme="10"/>
      <name val="Tahoma"/>
      <family val="2"/>
      <charset val="204"/>
    </font>
    <font>
      <sz val="10"/>
      <color theme="0"/>
      <name val="Tahoma"/>
      <family val="2"/>
      <charset val="204"/>
    </font>
    <font>
      <b/>
      <sz val="10"/>
      <color theme="0"/>
      <name val="Tahoma"/>
      <family val="2"/>
      <charset val="204"/>
    </font>
    <font>
      <b/>
      <sz val="12"/>
      <color theme="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63"/>
      <name val="Tahoma"/>
      <family val="2"/>
      <charset val="204"/>
    </font>
    <font>
      <sz val="10"/>
      <name val="Tahoma"/>
      <family val="2"/>
      <charset val="204"/>
    </font>
    <font>
      <i/>
      <sz val="10"/>
      <color indexed="8"/>
      <name val="Tahoma"/>
      <family val="2"/>
      <charset val="204"/>
    </font>
    <font>
      <i/>
      <sz val="10"/>
      <color indexed="63"/>
      <name val="Tahoma"/>
      <family val="2"/>
      <charset val="204"/>
    </font>
    <font>
      <i/>
      <sz val="10"/>
      <color theme="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color theme="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0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rgb="FFFF0000"/>
      <name val="Tahoma"/>
      <family val="2"/>
      <charset val="204"/>
    </font>
    <font>
      <u/>
      <sz val="10"/>
      <color rgb="FFFF0000"/>
      <name val="Tahoma"/>
      <family val="2"/>
      <charset val="204"/>
    </font>
    <font>
      <sz val="16"/>
      <name val="Tahoma"/>
      <family val="2"/>
      <charset val="204"/>
    </font>
    <font>
      <b/>
      <sz val="18"/>
      <color theme="1" tint="0.34998626667073579"/>
      <name val="Tahoma"/>
      <family val="2"/>
      <charset val="204"/>
    </font>
    <font>
      <b/>
      <sz val="12"/>
      <color rgb="FF595959"/>
      <name val="Tahoma"/>
      <family val="2"/>
      <charset val="204"/>
    </font>
    <font>
      <sz val="12"/>
      <color rgb="FF767171"/>
      <name val="Tahoma"/>
      <family val="2"/>
      <charset val="204"/>
    </font>
    <font>
      <u/>
      <sz val="12"/>
      <color rgb="FF2E75B6"/>
      <name val="Tahoma"/>
      <family val="2"/>
      <charset val="204"/>
    </font>
    <font>
      <sz val="12"/>
      <color theme="1" tint="0.34998626667073579"/>
      <name val="Tahoma"/>
      <family val="2"/>
      <charset val="204"/>
    </font>
    <font>
      <u/>
      <sz val="12"/>
      <color theme="1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Tahoma"/>
      <family val="2"/>
      <charset val="204"/>
    </font>
    <font>
      <sz val="10"/>
      <color rgb="FF2175C1"/>
      <name val="Tahoma"/>
      <family val="2"/>
      <charset val="204"/>
    </font>
    <font>
      <sz val="10"/>
      <color rgb="FF2175C1"/>
      <name val="Arial"/>
      <family val="2"/>
      <charset val="204"/>
    </font>
    <font>
      <b/>
      <sz val="12"/>
      <name val="Tahoma"/>
      <family val="2"/>
      <charset val="204"/>
    </font>
    <font>
      <b/>
      <vertAlign val="superscript"/>
      <sz val="10"/>
      <color rgb="FFC00000"/>
      <name val="Tahoma"/>
      <family val="2"/>
      <charset val="204"/>
    </font>
    <font>
      <b/>
      <sz val="10"/>
      <color rgb="FFC00000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i/>
      <sz val="9"/>
      <color indexed="63"/>
      <name val="Tahoma"/>
      <family val="2"/>
      <charset val="204"/>
    </font>
    <font>
      <b/>
      <i/>
      <vertAlign val="superscript"/>
      <sz val="9"/>
      <color rgb="FFC00000"/>
      <name val="Tahoma"/>
      <family val="2"/>
      <charset val="204"/>
    </font>
    <font>
      <i/>
      <sz val="9"/>
      <color theme="1"/>
      <name val="Tahoma"/>
      <family val="2"/>
      <charset val="204"/>
    </font>
    <font>
      <i/>
      <sz val="9"/>
      <color indexed="8"/>
      <name val="Tahoma"/>
      <family val="2"/>
      <charset val="204"/>
    </font>
    <font>
      <b/>
      <sz val="9"/>
      <color theme="1"/>
      <name val="Tahoma"/>
      <family val="2"/>
      <charset val="204"/>
    </font>
    <font>
      <sz val="9"/>
      <color theme="1"/>
      <name val="Tahoma"/>
      <family val="2"/>
      <charset val="204"/>
    </font>
    <font>
      <sz val="9"/>
      <color indexed="8"/>
      <name val="Tahoma"/>
      <family val="2"/>
      <charset val="204"/>
    </font>
    <font>
      <i/>
      <vertAlign val="subscript"/>
      <sz val="10"/>
      <color indexed="8"/>
      <name val="Tahoma"/>
      <family val="2"/>
      <charset val="204"/>
    </font>
    <font>
      <i/>
      <sz val="10"/>
      <name val="Tahoma"/>
      <family val="2"/>
      <charset val="204"/>
    </font>
    <font>
      <i/>
      <sz val="11"/>
      <name val="Calibri"/>
      <family val="2"/>
      <charset val="204"/>
      <scheme val="minor"/>
    </font>
    <font>
      <i/>
      <vertAlign val="subscript"/>
      <sz val="10"/>
      <name val="Tahoma"/>
      <family val="2"/>
      <charset val="204"/>
    </font>
    <font>
      <i/>
      <vertAlign val="superscript"/>
      <sz val="10"/>
      <color theme="1"/>
      <name val="Tahoma"/>
      <family val="2"/>
      <charset val="204"/>
    </font>
    <font>
      <i/>
      <vertAlign val="subscript"/>
      <sz val="10"/>
      <color theme="1"/>
      <name val="Tahoma"/>
      <family val="2"/>
      <charset val="204"/>
    </font>
    <font>
      <i/>
      <sz val="9"/>
      <color theme="1"/>
      <name val="Calibri"/>
      <family val="2"/>
      <charset val="204"/>
      <scheme val="minor"/>
    </font>
    <font>
      <i/>
      <sz val="9"/>
      <name val="Tahoma"/>
      <family val="2"/>
      <charset val="204"/>
    </font>
    <font>
      <vertAlign val="superscript"/>
      <sz val="10"/>
      <name val="Tahoma"/>
      <family val="2"/>
      <charset val="204"/>
    </font>
    <font>
      <i/>
      <vertAlign val="superscript"/>
      <sz val="1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ahoma"/>
      <family val="2"/>
      <charset val="204"/>
    </font>
    <font>
      <b/>
      <i/>
      <sz val="10"/>
      <name val="Tahoma"/>
      <family val="2"/>
      <charset val="204"/>
    </font>
    <font>
      <b/>
      <i/>
      <sz val="11"/>
      <name val="Calibri"/>
      <family val="2"/>
      <charset val="204"/>
      <scheme val="minor"/>
    </font>
    <font>
      <b/>
      <i/>
      <vertAlign val="superscript"/>
      <sz val="10"/>
      <color rgb="FFC00000"/>
      <name val="Tahoma"/>
      <family val="2"/>
      <charset val="204"/>
    </font>
    <font>
      <b/>
      <sz val="10"/>
      <color indexed="63"/>
      <name val="Tahoma"/>
      <family val="2"/>
      <charset val="204"/>
    </font>
    <font>
      <b/>
      <vertAlign val="superscript"/>
      <sz val="12"/>
      <color theme="0"/>
      <name val="Tahoma"/>
      <family val="2"/>
      <charset val="204"/>
    </font>
    <font>
      <b/>
      <i/>
      <sz val="10"/>
      <color indexed="8"/>
      <name val="Tahoma"/>
      <family val="2"/>
      <charset val="204"/>
    </font>
    <font>
      <b/>
      <i/>
      <vertAlign val="subscript"/>
      <sz val="10"/>
      <color indexed="8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2" fillId="3" borderId="0" applyNumberFormat="0" applyBorder="0" applyProtection="0">
      <alignment horizontal="center"/>
    </xf>
    <xf numFmtId="0" fontId="3" fillId="3" borderId="1"/>
    <xf numFmtId="164" fontId="4" fillId="3" borderId="2">
      <alignment horizontal="right"/>
    </xf>
    <xf numFmtId="0" fontId="5" fillId="3" borderId="1"/>
    <xf numFmtId="164" fontId="5" fillId="3" borderId="2">
      <alignment horizontal="right"/>
    </xf>
    <xf numFmtId="3" fontId="4" fillId="3" borderId="2">
      <alignment horizontal="right"/>
    </xf>
    <xf numFmtId="0" fontId="6" fillId="0" borderId="0" applyNumberFormat="0" applyFill="0" applyBorder="0" applyAlignment="0" applyProtection="0"/>
    <xf numFmtId="0" fontId="7" fillId="0" borderId="0"/>
    <xf numFmtId="9" fontId="21" fillId="0" borderId="0" applyFont="0" applyFill="0" applyBorder="0" applyAlignment="0" applyProtection="0"/>
  </cellStyleXfs>
  <cellXfs count="353">
    <xf numFmtId="0" fontId="0" fillId="0" borderId="0" xfId="0"/>
    <xf numFmtId="0" fontId="1" fillId="2" borderId="0" xfId="1" applyFill="1"/>
    <xf numFmtId="0" fontId="16" fillId="3" borderId="0" xfId="3" applyNumberFormat="1" applyFont="1" applyFill="1" applyBorder="1" applyAlignment="1" applyProtection="1"/>
    <xf numFmtId="164" fontId="15" fillId="3" borderId="0" xfId="4" applyNumberFormat="1" applyFont="1" applyFill="1" applyBorder="1" applyAlignment="1" applyProtection="1">
      <alignment horizontal="right"/>
    </xf>
    <xf numFmtId="165" fontId="8" fillId="2" borderId="0" xfId="0" applyNumberFormat="1" applyFont="1" applyFill="1" applyBorder="1"/>
    <xf numFmtId="0" fontId="8" fillId="2" borderId="0" xfId="0" applyFont="1" applyFill="1" applyBorder="1"/>
    <xf numFmtId="0" fontId="0" fillId="0" borderId="0" xfId="0" applyFill="1" applyBorder="1"/>
    <xf numFmtId="0" fontId="9" fillId="5" borderId="0" xfId="3" applyNumberFormat="1" applyFont="1" applyFill="1" applyBorder="1" applyAlignment="1" applyProtection="1"/>
    <xf numFmtId="0" fontId="9" fillId="5" borderId="4" xfId="3" applyNumberFormat="1" applyFont="1" applyFill="1" applyBorder="1" applyAlignment="1" applyProtection="1"/>
    <xf numFmtId="0" fontId="8" fillId="2" borderId="4" xfId="9" applyFont="1" applyFill="1" applyBorder="1"/>
    <xf numFmtId="0" fontId="20" fillId="2" borderId="4" xfId="9" applyFont="1" applyFill="1" applyBorder="1"/>
    <xf numFmtId="0" fontId="8" fillId="0" borderId="4" xfId="9" applyFont="1" applyBorder="1"/>
    <xf numFmtId="0" fontId="8" fillId="0" borderId="0" xfId="9" applyFont="1" applyBorder="1"/>
    <xf numFmtId="0" fontId="8" fillId="2" borderId="4" xfId="0" applyFont="1" applyFill="1" applyBorder="1"/>
    <xf numFmtId="0" fontId="15" fillId="3" borderId="0" xfId="5" applyNumberFormat="1" applyFont="1" applyFill="1" applyBorder="1" applyAlignment="1" applyProtection="1">
      <alignment horizontal="left"/>
    </xf>
    <xf numFmtId="0" fontId="0" fillId="2" borderId="0" xfId="0" applyFill="1" applyBorder="1"/>
    <xf numFmtId="0" fontId="0" fillId="0" borderId="0" xfId="0" applyBorder="1"/>
    <xf numFmtId="0" fontId="16" fillId="0" borderId="0" xfId="3" applyNumberFormat="1" applyFont="1" applyFill="1" applyBorder="1" applyAlignment="1" applyProtection="1">
      <alignment horizontal="center"/>
    </xf>
    <xf numFmtId="3" fontId="8" fillId="2" borderId="0" xfId="0" applyNumberFormat="1" applyFont="1" applyFill="1" applyBorder="1"/>
    <xf numFmtId="0" fontId="1" fillId="0" borderId="0" xfId="1" applyFill="1"/>
    <xf numFmtId="0" fontId="11" fillId="4" borderId="0" xfId="1" applyFont="1" applyFill="1"/>
    <xf numFmtId="0" fontId="8" fillId="2" borderId="0" xfId="9" applyFont="1" applyFill="1" applyBorder="1"/>
    <xf numFmtId="0" fontId="8" fillId="2" borderId="0" xfId="9" applyFont="1" applyFill="1" applyBorder="1" applyAlignment="1">
      <alignment horizontal="center"/>
    </xf>
    <xf numFmtId="3" fontId="15" fillId="3" borderId="0" xfId="7" applyNumberFormat="1" applyFont="1" applyFill="1" applyBorder="1" applyAlignment="1" applyProtection="1">
      <alignment horizontal="right"/>
    </xf>
    <xf numFmtId="4" fontId="15" fillId="3" borderId="0" xfId="4" applyNumberFormat="1" applyFont="1" applyFill="1" applyBorder="1" applyAlignment="1" applyProtection="1">
      <alignment horizontal="right"/>
    </xf>
    <xf numFmtId="0" fontId="8" fillId="0" borderId="0" xfId="9" applyFont="1" applyFill="1" applyBorder="1"/>
    <xf numFmtId="0" fontId="17" fillId="2" borderId="0" xfId="1" applyFont="1" applyFill="1"/>
    <xf numFmtId="0" fontId="28" fillId="2" borderId="0" xfId="1" applyFont="1" applyFill="1"/>
    <xf numFmtId="0" fontId="29" fillId="2" borderId="0" xfId="1" applyFont="1" applyFill="1"/>
    <xf numFmtId="0" fontId="30" fillId="0" borderId="0" xfId="0" applyFont="1"/>
    <xf numFmtId="0" fontId="31" fillId="0" borderId="0" xfId="0" applyFont="1"/>
    <xf numFmtId="0" fontId="33" fillId="2" borderId="0" xfId="1" applyFont="1" applyFill="1"/>
    <xf numFmtId="0" fontId="24" fillId="2" borderId="0" xfId="1" applyFont="1" applyFill="1"/>
    <xf numFmtId="49" fontId="17" fillId="2" borderId="0" xfId="1" applyNumberFormat="1" applyFont="1" applyFill="1"/>
    <xf numFmtId="0" fontId="36" fillId="0" borderId="0" xfId="0" applyFont="1" applyAlignment="1">
      <alignment horizontal="right" vertical="center" wrapText="1"/>
    </xf>
    <xf numFmtId="0" fontId="36" fillId="0" borderId="0" xfId="0" applyFont="1" applyBorder="1" applyAlignment="1">
      <alignment horizontal="right" vertical="center" wrapText="1"/>
    </xf>
    <xf numFmtId="0" fontId="35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right" vertical="center"/>
    </xf>
    <xf numFmtId="0" fontId="37" fillId="4" borderId="0" xfId="1" applyFont="1" applyFill="1"/>
    <xf numFmtId="0" fontId="38" fillId="4" borderId="0" xfId="1" applyFont="1" applyFill="1"/>
    <xf numFmtId="0" fontId="35" fillId="2" borderId="0" xfId="0" applyFont="1" applyFill="1" applyBorder="1" applyAlignment="1">
      <alignment horizontal="right" vertical="center" wrapText="1"/>
    </xf>
    <xf numFmtId="0" fontId="36" fillId="2" borderId="0" xfId="0" applyFont="1" applyFill="1" applyAlignment="1">
      <alignment horizontal="right" vertical="center" wrapText="1"/>
    </xf>
    <xf numFmtId="0" fontId="36" fillId="2" borderId="0" xfId="0" applyFont="1" applyFill="1" applyBorder="1" applyAlignment="1">
      <alignment horizontal="right" vertical="center" wrapText="1"/>
    </xf>
    <xf numFmtId="0" fontId="11" fillId="4" borderId="0" xfId="1" applyFont="1" applyFill="1" applyBorder="1"/>
    <xf numFmtId="0" fontId="17" fillId="0" borderId="0" xfId="1" applyFont="1" applyFill="1"/>
    <xf numFmtId="0" fontId="17" fillId="2" borderId="0" xfId="1" applyFont="1" applyFill="1" applyBorder="1"/>
    <xf numFmtId="0" fontId="12" fillId="4" borderId="0" xfId="1" applyFont="1" applyFill="1" applyBorder="1" applyAlignment="1">
      <alignment horizontal="left"/>
    </xf>
    <xf numFmtId="0" fontId="39" fillId="2" borderId="0" xfId="1" applyFont="1" applyFill="1"/>
    <xf numFmtId="0" fontId="24" fillId="0" borderId="0" xfId="1" applyFont="1" applyFill="1" applyBorder="1" applyAlignment="1">
      <alignment horizontal="left"/>
    </xf>
    <xf numFmtId="0" fontId="10" fillId="0" borderId="0" xfId="8" applyNumberFormat="1" applyFont="1" applyFill="1" applyBorder="1" applyAlignment="1" applyProtection="1"/>
    <xf numFmtId="0" fontId="10" fillId="0" borderId="0" xfId="8" applyFont="1" applyFill="1" applyBorder="1" applyAlignment="1">
      <alignment wrapText="1"/>
    </xf>
    <xf numFmtId="0" fontId="8" fillId="0" borderId="0" xfId="0" applyFont="1" applyBorder="1"/>
    <xf numFmtId="0" fontId="10" fillId="3" borderId="0" xfId="8" applyNumberFormat="1" applyFont="1" applyFill="1" applyBorder="1" applyAlignment="1" applyProtection="1"/>
    <xf numFmtId="0" fontId="19" fillId="0" borderId="0" xfId="3" applyNumberFormat="1" applyFont="1" applyFill="1" applyBorder="1" applyAlignment="1" applyProtection="1"/>
    <xf numFmtId="164" fontId="18" fillId="0" borderId="0" xfId="4" applyNumberFormat="1" applyFont="1" applyFill="1" applyBorder="1" applyAlignment="1" applyProtection="1">
      <alignment horizontal="right"/>
    </xf>
    <xf numFmtId="0" fontId="16" fillId="3" borderId="0" xfId="3" applyNumberFormat="1" applyFont="1" applyFill="1" applyBorder="1" applyAlignment="1" applyProtection="1">
      <alignment horizontal="center" wrapText="1"/>
    </xf>
    <xf numFmtId="0" fontId="10" fillId="2" borderId="0" xfId="8" applyNumberFormat="1" applyFont="1" applyFill="1" applyBorder="1" applyAlignment="1" applyProtection="1"/>
    <xf numFmtId="0" fontId="10" fillId="2" borderId="0" xfId="8" applyFont="1" applyFill="1" applyBorder="1"/>
    <xf numFmtId="0" fontId="10" fillId="2" borderId="0" xfId="8" applyFont="1" applyFill="1" applyBorder="1" applyAlignment="1">
      <alignment horizontal="left"/>
    </xf>
    <xf numFmtId="164" fontId="17" fillId="0" borderId="0" xfId="4" applyNumberFormat="1" applyFont="1" applyFill="1" applyBorder="1" applyAlignment="1" applyProtection="1">
      <alignment horizontal="right"/>
    </xf>
    <xf numFmtId="165" fontId="17" fillId="0" borderId="0" xfId="0" applyNumberFormat="1" applyFont="1" applyFill="1" applyBorder="1" applyAlignment="1">
      <alignment horizontal="right"/>
    </xf>
    <xf numFmtId="0" fontId="23" fillId="0" borderId="0" xfId="0" applyFont="1" applyFill="1" applyBorder="1"/>
    <xf numFmtId="0" fontId="9" fillId="5" borderId="0" xfId="3" applyNumberFormat="1" applyFont="1" applyFill="1" applyBorder="1" applyAlignment="1" applyProtection="1">
      <alignment horizontal="right"/>
    </xf>
    <xf numFmtId="0" fontId="42" fillId="3" borderId="0" xfId="3" applyNumberFormat="1" applyFont="1" applyFill="1" applyBorder="1" applyAlignment="1" applyProtection="1"/>
    <xf numFmtId="0" fontId="44" fillId="3" borderId="0" xfId="3" applyNumberFormat="1" applyFont="1" applyFill="1" applyBorder="1" applyAlignment="1" applyProtection="1"/>
    <xf numFmtId="0" fontId="46" fillId="0" borderId="0" xfId="0" applyFont="1" applyBorder="1"/>
    <xf numFmtId="0" fontId="44" fillId="0" borderId="0" xfId="3" applyNumberFormat="1" applyFont="1" applyFill="1" applyBorder="1" applyAlignment="1" applyProtection="1"/>
    <xf numFmtId="0" fontId="44" fillId="0" borderId="0" xfId="3" applyNumberFormat="1" applyFont="1" applyFill="1" applyBorder="1" applyAlignment="1" applyProtection="1">
      <alignment horizontal="center"/>
    </xf>
    <xf numFmtId="164" fontId="47" fillId="0" borderId="0" xfId="4" applyNumberFormat="1" applyFont="1" applyFill="1" applyBorder="1" applyAlignment="1" applyProtection="1">
      <alignment horizontal="right"/>
    </xf>
    <xf numFmtId="0" fontId="44" fillId="3" borderId="0" xfId="3" applyNumberFormat="1" applyFont="1" applyFill="1" applyBorder="1" applyAlignment="1" applyProtection="1">
      <alignment horizontal="center"/>
    </xf>
    <xf numFmtId="164" fontId="47" fillId="3" borderId="0" xfId="4" applyNumberFormat="1" applyFont="1" applyFill="1" applyBorder="1" applyAlignment="1" applyProtection="1">
      <alignment horizontal="right"/>
    </xf>
    <xf numFmtId="0" fontId="42" fillId="0" borderId="0" xfId="3" applyNumberFormat="1" applyFont="1" applyFill="1" applyBorder="1" applyAlignment="1" applyProtection="1"/>
    <xf numFmtId="0" fontId="49" fillId="2" borderId="0" xfId="9" applyFont="1" applyFill="1" applyBorder="1" applyAlignment="1">
      <alignment horizontal="center"/>
    </xf>
    <xf numFmtId="3" fontId="50" fillId="3" borderId="0" xfId="7" applyNumberFormat="1" applyFont="1" applyFill="1" applyBorder="1" applyAlignment="1" applyProtection="1">
      <alignment horizontal="right"/>
    </xf>
    <xf numFmtId="0" fontId="49" fillId="0" borderId="0" xfId="9" applyFont="1" applyBorder="1"/>
    <xf numFmtId="3" fontId="17" fillId="0" borderId="0" xfId="0" applyNumberFormat="1" applyFont="1" applyFill="1" applyBorder="1" applyAlignment="1"/>
    <xf numFmtId="3" fontId="52" fillId="0" borderId="0" xfId="0" applyNumberFormat="1" applyFont="1" applyFill="1" applyBorder="1" applyAlignment="1"/>
    <xf numFmtId="0" fontId="57" fillId="0" borderId="0" xfId="0" applyFont="1" applyBorder="1"/>
    <xf numFmtId="0" fontId="8" fillId="3" borderId="5" xfId="3" applyNumberFormat="1" applyFont="1" applyFill="1" applyBorder="1" applyAlignment="1" applyProtection="1"/>
    <xf numFmtId="1" fontId="17" fillId="0" borderId="0" xfId="0" applyNumberFormat="1" applyFont="1" applyFill="1" applyBorder="1" applyAlignment="1">
      <alignment horizontal="right"/>
    </xf>
    <xf numFmtId="1" fontId="17" fillId="0" borderId="0" xfId="0" applyNumberFormat="1" applyFont="1" applyFill="1" applyBorder="1"/>
    <xf numFmtId="0" fontId="24" fillId="5" borderId="0" xfId="3" applyNumberFormat="1" applyFont="1" applyFill="1" applyBorder="1" applyAlignment="1" applyProtection="1"/>
    <xf numFmtId="0" fontId="24" fillId="5" borderId="4" xfId="3" applyNumberFormat="1" applyFont="1" applyFill="1" applyBorder="1" applyAlignment="1" applyProtection="1"/>
    <xf numFmtId="9" fontId="17" fillId="2" borderId="0" xfId="10" applyFont="1" applyFill="1" applyBorder="1"/>
    <xf numFmtId="0" fontId="62" fillId="0" borderId="0" xfId="0" applyFont="1"/>
    <xf numFmtId="0" fontId="12" fillId="4" borderId="0" xfId="1" applyFont="1" applyFill="1" applyBorder="1" applyAlignment="1"/>
    <xf numFmtId="0" fontId="8" fillId="0" borderId="5" xfId="3" applyNumberFormat="1" applyFont="1" applyFill="1" applyBorder="1" applyAlignment="1" applyProtection="1">
      <alignment horizontal="center" wrapText="1"/>
    </xf>
    <xf numFmtId="0" fontId="20" fillId="0" borderId="0" xfId="0" applyFont="1" applyBorder="1" applyAlignment="1">
      <alignment horizontal="left" wrapText="1"/>
    </xf>
    <xf numFmtId="164" fontId="15" fillId="3" borderId="0" xfId="4" applyNumberFormat="1" applyFont="1" applyFill="1" applyBorder="1" applyAlignment="1" applyProtection="1"/>
    <xf numFmtId="0" fontId="24" fillId="5" borderId="0" xfId="3" applyNumberFormat="1" applyFont="1" applyFill="1" applyBorder="1" applyAlignment="1" applyProtection="1">
      <alignment horizontal="center"/>
    </xf>
    <xf numFmtId="0" fontId="24" fillId="4" borderId="0" xfId="1" applyFont="1" applyFill="1" applyBorder="1" applyAlignment="1">
      <alignment horizontal="center"/>
    </xf>
    <xf numFmtId="0" fontId="12" fillId="4" borderId="0" xfId="1" applyFont="1" applyFill="1" applyBorder="1" applyAlignment="1">
      <alignment horizontal="center"/>
    </xf>
    <xf numFmtId="0" fontId="12" fillId="4" borderId="4" xfId="1" applyFont="1" applyFill="1" applyBorder="1" applyAlignment="1">
      <alignment horizontal="center"/>
    </xf>
    <xf numFmtId="0" fontId="44" fillId="3" borderId="0" xfId="3" applyNumberFormat="1" applyFont="1" applyFill="1" applyBorder="1" applyAlignment="1" applyProtection="1">
      <alignment horizontal="left" wrapText="1"/>
    </xf>
    <xf numFmtId="0" fontId="6" fillId="2" borderId="0" xfId="8" applyFill="1" applyBorder="1" applyAlignment="1">
      <alignment wrapText="1"/>
    </xf>
    <xf numFmtId="3" fontId="61" fillId="0" borderId="0" xfId="0" applyNumberFormat="1" applyFont="1" applyFill="1" applyBorder="1"/>
    <xf numFmtId="0" fontId="8" fillId="3" borderId="5" xfId="3" applyNumberFormat="1" applyFont="1" applyFill="1" applyBorder="1" applyAlignment="1" applyProtection="1">
      <alignment wrapText="1"/>
    </xf>
    <xf numFmtId="0" fontId="20" fillId="0" borderId="0" xfId="9" applyFont="1" applyBorder="1"/>
    <xf numFmtId="9" fontId="20" fillId="0" borderId="0" xfId="9" applyNumberFormat="1" applyFont="1" applyBorder="1"/>
    <xf numFmtId="0" fontId="25" fillId="0" borderId="0" xfId="0" applyFont="1" applyBorder="1"/>
    <xf numFmtId="0" fontId="20" fillId="2" borderId="0" xfId="9" applyFont="1" applyFill="1" applyBorder="1"/>
    <xf numFmtId="0" fontId="8" fillId="0" borderId="0" xfId="9" applyFont="1" applyFill="1" applyBorder="1" applyAlignment="1">
      <alignment horizontal="right"/>
    </xf>
    <xf numFmtId="0" fontId="17" fillId="2" borderId="0" xfId="2" applyFont="1" applyFill="1" applyBorder="1" applyAlignment="1">
      <alignment horizontal="right"/>
    </xf>
    <xf numFmtId="0" fontId="8" fillId="2" borderId="0" xfId="9" applyFont="1" applyFill="1" applyBorder="1" applyAlignment="1">
      <alignment horizontal="right"/>
    </xf>
    <xf numFmtId="9" fontId="8" fillId="0" borderId="0" xfId="9" applyNumberFormat="1" applyFont="1" applyBorder="1" applyAlignment="1">
      <alignment horizontal="right"/>
    </xf>
    <xf numFmtId="9" fontId="8" fillId="0" borderId="0" xfId="9" applyNumberFormat="1" applyFont="1" applyBorder="1"/>
    <xf numFmtId="164" fontId="17" fillId="0" borderId="0" xfId="1" applyNumberFormat="1" applyFont="1" applyFill="1" applyBorder="1" applyAlignment="1">
      <alignment horizontal="right"/>
    </xf>
    <xf numFmtId="9" fontId="15" fillId="0" borderId="0" xfId="10" applyFont="1" applyFill="1" applyBorder="1" applyAlignment="1" applyProtection="1">
      <alignment horizontal="right"/>
    </xf>
    <xf numFmtId="9" fontId="8" fillId="0" borderId="0" xfId="10" applyFont="1" applyFill="1" applyBorder="1"/>
    <xf numFmtId="0" fontId="43" fillId="0" borderId="0" xfId="0" applyFont="1" applyBorder="1"/>
    <xf numFmtId="0" fontId="46" fillId="0" borderId="0" xfId="9" applyFont="1" applyFill="1" applyBorder="1"/>
    <xf numFmtId="0" fontId="20" fillId="0" borderId="0" xfId="9" applyFont="1" applyFill="1" applyBorder="1"/>
    <xf numFmtId="3" fontId="20" fillId="0" borderId="0" xfId="9" applyNumberFormat="1" applyFont="1" applyBorder="1"/>
    <xf numFmtId="0" fontId="12" fillId="4" borderId="4" xfId="1" applyFont="1" applyFill="1" applyBorder="1" applyAlignment="1">
      <alignment horizontal="left"/>
    </xf>
    <xf numFmtId="0" fontId="9" fillId="5" borderId="4" xfId="5" applyNumberFormat="1" applyFont="1" applyFill="1" applyBorder="1" applyAlignment="1" applyProtection="1"/>
    <xf numFmtId="0" fontId="20" fillId="0" borderId="4" xfId="9" applyFont="1" applyBorder="1"/>
    <xf numFmtId="0" fontId="8" fillId="2" borderId="2" xfId="0" applyFont="1" applyFill="1" applyBorder="1"/>
    <xf numFmtId="0" fontId="12" fillId="4" borderId="2" xfId="1" applyFont="1" applyFill="1" applyBorder="1" applyAlignment="1">
      <alignment horizontal="center"/>
    </xf>
    <xf numFmtId="0" fontId="9" fillId="5" borderId="2" xfId="3" applyNumberFormat="1" applyFont="1" applyFill="1" applyBorder="1" applyAlignment="1" applyProtection="1"/>
    <xf numFmtId="0" fontId="8" fillId="0" borderId="2" xfId="9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8" fillId="2" borderId="2" xfId="9" applyFont="1" applyFill="1" applyBorder="1" applyAlignment="1">
      <alignment horizontal="center"/>
    </xf>
    <xf numFmtId="0" fontId="16" fillId="3" borderId="4" xfId="3" applyNumberFormat="1" applyFont="1" applyFill="1" applyBorder="1" applyAlignment="1" applyProtection="1"/>
    <xf numFmtId="0" fontId="8" fillId="2" borderId="4" xfId="9" applyFont="1" applyFill="1" applyBorder="1" applyAlignment="1">
      <alignment horizontal="left"/>
    </xf>
    <xf numFmtId="0" fontId="16" fillId="3" borderId="2" xfId="3" applyNumberFormat="1" applyFont="1" applyFill="1" applyBorder="1" applyAlignment="1" applyProtection="1">
      <alignment horizontal="center"/>
    </xf>
    <xf numFmtId="0" fontId="17" fillId="2" borderId="2" xfId="2" applyFont="1" applyFill="1" applyBorder="1" applyAlignment="1">
      <alignment horizontal="center"/>
    </xf>
    <xf numFmtId="0" fontId="9" fillId="5" borderId="4" xfId="5" applyNumberFormat="1" applyFont="1" applyFill="1" applyBorder="1" applyAlignment="1" applyProtection="1">
      <alignment wrapText="1"/>
    </xf>
    <xf numFmtId="0" fontId="16" fillId="0" borderId="4" xfId="3" applyNumberFormat="1" applyFont="1" applyFill="1" applyBorder="1" applyAlignment="1" applyProtection="1"/>
    <xf numFmtId="0" fontId="17" fillId="0" borderId="4" xfId="3" applyNumberFormat="1" applyFont="1" applyFill="1" applyBorder="1" applyAlignment="1" applyProtection="1"/>
    <xf numFmtId="0" fontId="8" fillId="0" borderId="4" xfId="9" quotePrefix="1" applyFont="1" applyBorder="1" applyAlignment="1">
      <alignment horizontal="center"/>
    </xf>
    <xf numFmtId="3" fontId="15" fillId="0" borderId="4" xfId="7" applyNumberFormat="1" applyFont="1" applyFill="1" applyBorder="1" applyAlignment="1" applyProtection="1">
      <alignment horizontal="center"/>
    </xf>
    <xf numFmtId="0" fontId="17" fillId="0" borderId="4" xfId="1" applyFont="1" applyFill="1" applyBorder="1" applyAlignment="1">
      <alignment horizontal="center"/>
    </xf>
    <xf numFmtId="0" fontId="8" fillId="2" borderId="4" xfId="9" applyFont="1" applyFill="1" applyBorder="1" applyAlignment="1">
      <alignment horizontal="center"/>
    </xf>
    <xf numFmtId="0" fontId="8" fillId="0" borderId="0" xfId="0" applyFont="1" applyFill="1" applyBorder="1"/>
    <xf numFmtId="3" fontId="17" fillId="2" borderId="0" xfId="6" applyNumberFormat="1" applyFont="1" applyFill="1" applyBorder="1" applyAlignment="1" applyProtection="1">
      <alignment horizontal="right"/>
    </xf>
    <xf numFmtId="0" fontId="9" fillId="2" borderId="0" xfId="0" applyFont="1" applyFill="1" applyBorder="1"/>
    <xf numFmtId="3" fontId="52" fillId="2" borderId="0" xfId="6" applyNumberFormat="1" applyFont="1" applyFill="1" applyBorder="1" applyAlignment="1" applyProtection="1">
      <alignment horizontal="right"/>
    </xf>
    <xf numFmtId="3" fontId="15" fillId="2" borderId="0" xfId="6" applyNumberFormat="1" applyFont="1" applyFill="1" applyBorder="1" applyAlignment="1" applyProtection="1">
      <alignment horizontal="right"/>
    </xf>
    <xf numFmtId="0" fontId="22" fillId="2" borderId="0" xfId="0" applyFont="1" applyFill="1" applyBorder="1"/>
    <xf numFmtId="0" fontId="22" fillId="2" borderId="0" xfId="0" applyFont="1" applyFill="1" applyBorder="1" applyAlignment="1">
      <alignment horizontal="right"/>
    </xf>
    <xf numFmtId="3" fontId="52" fillId="0" borderId="0" xfId="6" applyNumberFormat="1" applyFont="1" applyFill="1" applyBorder="1" applyAlignment="1" applyProtection="1">
      <alignment horizontal="right"/>
    </xf>
    <xf numFmtId="3" fontId="14" fillId="2" borderId="0" xfId="6" applyNumberFormat="1" applyFont="1" applyFill="1" applyBorder="1" applyAlignment="1" applyProtection="1">
      <alignment horizontal="right"/>
    </xf>
    <xf numFmtId="9" fontId="8" fillId="2" borderId="0" xfId="10" applyFont="1" applyFill="1" applyBorder="1" applyAlignment="1">
      <alignment horizontal="right"/>
    </xf>
    <xf numFmtId="9" fontId="17" fillId="2" borderId="0" xfId="10" applyFont="1" applyFill="1" applyBorder="1" applyAlignment="1">
      <alignment horizontal="right"/>
    </xf>
    <xf numFmtId="167" fontId="17" fillId="2" borderId="0" xfId="10" applyNumberFormat="1" applyFont="1" applyFill="1" applyBorder="1"/>
    <xf numFmtId="167" fontId="17" fillId="0" borderId="0" xfId="10" applyNumberFormat="1" applyFont="1" applyFill="1" applyBorder="1"/>
    <xf numFmtId="9" fontId="8" fillId="0" borderId="0" xfId="10" applyNumberFormat="1" applyFont="1" applyFill="1" applyBorder="1"/>
    <xf numFmtId="9" fontId="20" fillId="0" borderId="0" xfId="10" applyNumberFormat="1" applyFont="1" applyFill="1" applyBorder="1"/>
    <xf numFmtId="9" fontId="20" fillId="0" borderId="0" xfId="10" applyNumberFormat="1" applyFont="1" applyFill="1" applyBorder="1" applyAlignment="1">
      <alignment horizontal="right"/>
    </xf>
    <xf numFmtId="167" fontId="8" fillId="0" borderId="0" xfId="10" applyNumberFormat="1" applyFont="1" applyFill="1" applyBorder="1"/>
    <xf numFmtId="165" fontId="17" fillId="0" borderId="0" xfId="0" applyNumberFormat="1" applyFont="1" applyFill="1" applyBorder="1"/>
    <xf numFmtId="165" fontId="8" fillId="0" borderId="0" xfId="0" applyNumberFormat="1" applyFont="1" applyFill="1" applyBorder="1"/>
    <xf numFmtId="166" fontId="17" fillId="0" borderId="0" xfId="0" applyNumberFormat="1" applyFont="1" applyFill="1" applyBorder="1"/>
    <xf numFmtId="9" fontId="17" fillId="0" borderId="0" xfId="10" applyFont="1" applyFill="1" applyBorder="1"/>
    <xf numFmtId="1" fontId="8" fillId="2" borderId="0" xfId="0" applyNumberFormat="1" applyFont="1" applyFill="1" applyBorder="1"/>
    <xf numFmtId="1" fontId="8" fillId="0" borderId="0" xfId="0" applyNumberFormat="1" applyFont="1" applyFill="1" applyBorder="1"/>
    <xf numFmtId="3" fontId="17" fillId="0" borderId="0" xfId="6" applyNumberFormat="1" applyFont="1" applyFill="1" applyBorder="1" applyAlignment="1" applyProtection="1">
      <alignment horizontal="right"/>
    </xf>
    <xf numFmtId="3" fontId="17" fillId="0" borderId="0" xfId="0" applyNumberFormat="1" applyFont="1" applyFill="1" applyBorder="1"/>
    <xf numFmtId="4" fontId="8" fillId="2" borderId="0" xfId="0" applyNumberFormat="1" applyFont="1" applyFill="1" applyBorder="1" applyAlignment="1">
      <alignment horizontal="right"/>
    </xf>
    <xf numFmtId="3" fontId="20" fillId="2" borderId="0" xfId="0" applyNumberFormat="1" applyFont="1" applyFill="1" applyBorder="1"/>
    <xf numFmtId="0" fontId="20" fillId="2" borderId="0" xfId="0" applyFont="1" applyFill="1" applyBorder="1"/>
    <xf numFmtId="3" fontId="20" fillId="0" borderId="0" xfId="0" applyNumberFormat="1" applyFont="1" applyFill="1" applyBorder="1"/>
    <xf numFmtId="3" fontId="8" fillId="2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9" fontId="20" fillId="2" borderId="0" xfId="10" applyFont="1" applyFill="1" applyBorder="1" applyAlignment="1">
      <alignment horizontal="right"/>
    </xf>
    <xf numFmtId="3" fontId="20" fillId="2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2" borderId="4" xfId="0" applyFill="1" applyBorder="1"/>
    <xf numFmtId="0" fontId="17" fillId="3" borderId="4" xfId="5" applyNumberFormat="1" applyFont="1" applyFill="1" applyBorder="1" applyAlignment="1" applyProtection="1"/>
    <xf numFmtId="0" fontId="52" fillId="3" borderId="4" xfId="5" applyNumberFormat="1" applyFont="1" applyFill="1" applyBorder="1" applyAlignment="1" applyProtection="1">
      <alignment horizontal="right"/>
    </xf>
    <xf numFmtId="0" fontId="15" fillId="3" borderId="4" xfId="5" applyNumberFormat="1" applyFont="1" applyFill="1" applyBorder="1" applyAlignment="1" applyProtection="1"/>
    <xf numFmtId="0" fontId="14" fillId="3" borderId="4" xfId="5" applyNumberFormat="1" applyFont="1" applyFill="1" applyBorder="1" applyAlignment="1" applyProtection="1"/>
    <xf numFmtId="0" fontId="15" fillId="3" borderId="4" xfId="5" applyNumberFormat="1" applyFont="1" applyFill="1" applyBorder="1" applyAlignment="1" applyProtection="1">
      <alignment horizontal="left"/>
    </xf>
    <xf numFmtId="0" fontId="15" fillId="2" borderId="4" xfId="5" applyNumberFormat="1" applyFont="1" applyFill="1" applyBorder="1" applyAlignment="1" applyProtection="1">
      <alignment horizontal="left"/>
    </xf>
    <xf numFmtId="0" fontId="17" fillId="0" borderId="2" xfId="9" applyFont="1" applyBorder="1" applyAlignment="1">
      <alignment horizontal="center"/>
    </xf>
    <xf numFmtId="0" fontId="66" fillId="3" borderId="2" xfId="3" applyNumberFormat="1" applyFont="1" applyFill="1" applyBorder="1" applyAlignment="1" applyProtection="1">
      <alignment horizontal="center"/>
    </xf>
    <xf numFmtId="0" fontId="24" fillId="5" borderId="2" xfId="3" applyNumberFormat="1" applyFont="1" applyFill="1" applyBorder="1" applyAlignment="1" applyProtection="1"/>
    <xf numFmtId="0" fontId="17" fillId="3" borderId="2" xfId="3" applyNumberFormat="1" applyFont="1" applyFill="1" applyBorder="1" applyAlignment="1" applyProtection="1">
      <alignment horizontal="center"/>
    </xf>
    <xf numFmtId="0" fontId="0" fillId="2" borderId="2" xfId="0" applyFill="1" applyBorder="1"/>
    <xf numFmtId="0" fontId="17" fillId="3" borderId="4" xfId="3" applyNumberFormat="1" applyFont="1" applyFill="1" applyBorder="1" applyAlignment="1" applyProtection="1">
      <alignment horizontal="center"/>
    </xf>
    <xf numFmtId="0" fontId="17" fillId="0" borderId="4" xfId="3" applyNumberFormat="1" applyFont="1" applyFill="1" applyBorder="1" applyAlignment="1" applyProtection="1">
      <alignment horizontal="center"/>
    </xf>
    <xf numFmtId="0" fontId="18" fillId="2" borderId="4" xfId="5" applyNumberFormat="1" applyFont="1" applyFill="1" applyBorder="1" applyAlignment="1" applyProtection="1">
      <alignment horizontal="left"/>
    </xf>
    <xf numFmtId="0" fontId="15" fillId="0" borderId="4" xfId="5" applyNumberFormat="1" applyFont="1" applyFill="1" applyBorder="1" applyAlignment="1" applyProtection="1">
      <alignment horizontal="left"/>
    </xf>
    <xf numFmtId="0" fontId="17" fillId="3" borderId="4" xfId="3" applyNumberFormat="1" applyFont="1" applyFill="1" applyBorder="1" applyAlignment="1" applyProtection="1"/>
    <xf numFmtId="0" fontId="18" fillId="3" borderId="4" xfId="5" applyNumberFormat="1" applyFont="1" applyFill="1" applyBorder="1" applyAlignment="1" applyProtection="1">
      <alignment horizontal="left"/>
    </xf>
    <xf numFmtId="0" fontId="15" fillId="3" borderId="4" xfId="5" applyNumberFormat="1" applyFont="1" applyFill="1" applyBorder="1" applyAlignment="1" applyProtection="1">
      <alignment horizontal="left" wrapText="1"/>
    </xf>
    <xf numFmtId="0" fontId="17" fillId="0" borderId="2" xfId="3" applyNumberFormat="1" applyFont="1" applyFill="1" applyBorder="1" applyAlignment="1" applyProtection="1">
      <alignment horizontal="center"/>
    </xf>
    <xf numFmtId="0" fontId="17" fillId="3" borderId="2" xfId="3" applyNumberFormat="1" applyFont="1" applyFill="1" applyBorder="1" applyAlignment="1" applyProtection="1">
      <alignment horizontal="center" wrapText="1"/>
    </xf>
    <xf numFmtId="0" fontId="17" fillId="0" borderId="2" xfId="1" applyFont="1" applyFill="1" applyBorder="1" applyAlignment="1">
      <alignment horizontal="center"/>
    </xf>
    <xf numFmtId="0" fontId="14" fillId="3" borderId="4" xfId="5" applyNumberFormat="1" applyFont="1" applyFill="1" applyBorder="1" applyAlignment="1" applyProtection="1">
      <alignment horizontal="left"/>
    </xf>
    <xf numFmtId="0" fontId="24" fillId="0" borderId="4" xfId="3" applyNumberFormat="1" applyFont="1" applyFill="1" applyBorder="1" applyAlignment="1" applyProtection="1">
      <alignment horizontal="center"/>
    </xf>
    <xf numFmtId="3" fontId="24" fillId="0" borderId="0" xfId="6" applyNumberFormat="1" applyFont="1" applyFill="1" applyBorder="1" applyAlignment="1" applyProtection="1">
      <alignment horizontal="right"/>
    </xf>
    <xf numFmtId="0" fontId="15" fillId="3" borderId="11" xfId="5" applyNumberFormat="1" applyFont="1" applyFill="1" applyBorder="1" applyAlignment="1" applyProtection="1"/>
    <xf numFmtId="3" fontId="15" fillId="2" borderId="10" xfId="6" applyNumberFormat="1" applyFont="1" applyFill="1" applyBorder="1" applyAlignment="1" applyProtection="1">
      <alignment horizontal="right"/>
    </xf>
    <xf numFmtId="0" fontId="15" fillId="3" borderId="11" xfId="5" applyNumberFormat="1" applyFont="1" applyFill="1" applyBorder="1" applyAlignment="1" applyProtection="1">
      <alignment horizontal="left"/>
    </xf>
    <xf numFmtId="0" fontId="17" fillId="0" borderId="11" xfId="3" applyNumberFormat="1" applyFont="1" applyFill="1" applyBorder="1" applyAlignment="1" applyProtection="1">
      <alignment horizontal="center"/>
    </xf>
    <xf numFmtId="3" fontId="17" fillId="0" borderId="10" xfId="0" applyNumberFormat="1" applyFont="1" applyFill="1" applyBorder="1"/>
    <xf numFmtId="3" fontId="17" fillId="0" borderId="10" xfId="6" applyNumberFormat="1" applyFont="1" applyFill="1" applyBorder="1" applyAlignment="1" applyProtection="1">
      <alignment horizontal="right"/>
    </xf>
    <xf numFmtId="3" fontId="14" fillId="0" borderId="0" xfId="6" applyNumberFormat="1" applyFont="1" applyFill="1" applyBorder="1" applyAlignment="1" applyProtection="1"/>
    <xf numFmtId="3" fontId="9" fillId="0" borderId="0" xfId="0" applyNumberFormat="1" applyFont="1" applyFill="1" applyBorder="1" applyAlignment="1"/>
    <xf numFmtId="3" fontId="18" fillId="0" borderId="0" xfId="6" applyNumberFormat="1" applyFont="1" applyFill="1" applyBorder="1" applyAlignment="1" applyProtection="1"/>
    <xf numFmtId="3" fontId="20" fillId="0" borderId="0" xfId="0" applyNumberFormat="1" applyFont="1" applyFill="1" applyBorder="1" applyAlignment="1"/>
    <xf numFmtId="3" fontId="24" fillId="0" borderId="0" xfId="0" applyNumberFormat="1" applyFont="1" applyFill="1" applyBorder="1" applyAlignment="1"/>
    <xf numFmtId="3" fontId="15" fillId="0" borderId="0" xfId="6" applyNumberFormat="1" applyFont="1" applyFill="1" applyBorder="1" applyAlignment="1" applyProtection="1"/>
    <xf numFmtId="3" fontId="24" fillId="2" borderId="0" xfId="0" applyNumberFormat="1" applyFont="1" applyFill="1" applyBorder="1" applyAlignment="1">
      <alignment horizontal="right"/>
    </xf>
    <xf numFmtId="164" fontId="9" fillId="0" borderId="0" xfId="3" applyNumberFormat="1" applyFont="1" applyFill="1" applyBorder="1" applyAlignment="1" applyProtection="1"/>
    <xf numFmtId="164" fontId="9" fillId="0" borderId="0" xfId="3" applyNumberFormat="1" applyFont="1" applyFill="1" applyBorder="1" applyAlignment="1" applyProtection="1">
      <alignment horizontal="right"/>
    </xf>
    <xf numFmtId="0" fontId="61" fillId="0" borderId="0" xfId="0" applyFont="1" applyBorder="1"/>
    <xf numFmtId="3" fontId="52" fillId="2" borderId="0" xfId="0" applyNumberFormat="1" applyFont="1" applyFill="1" applyBorder="1" applyAlignment="1">
      <alignment horizontal="right"/>
    </xf>
    <xf numFmtId="164" fontId="8" fillId="0" borderId="0" xfId="3" applyNumberFormat="1" applyFont="1" applyFill="1" applyBorder="1" applyAlignment="1" applyProtection="1"/>
    <xf numFmtId="164" fontId="8" fillId="0" borderId="0" xfId="3" applyNumberFormat="1" applyFont="1" applyFill="1" applyBorder="1" applyAlignment="1" applyProtection="1">
      <alignment horizontal="right"/>
    </xf>
    <xf numFmtId="164" fontId="20" fillId="0" borderId="0" xfId="3" applyNumberFormat="1" applyFont="1" applyFill="1" applyBorder="1" applyAlignment="1" applyProtection="1">
      <alignment horizontal="right"/>
    </xf>
    <xf numFmtId="3" fontId="63" fillId="2" borderId="0" xfId="0" applyNumberFormat="1" applyFont="1" applyFill="1" applyBorder="1" applyAlignment="1">
      <alignment horizontal="right"/>
    </xf>
    <xf numFmtId="0" fontId="64" fillId="0" borderId="0" xfId="0" applyFont="1" applyBorder="1"/>
    <xf numFmtId="3" fontId="15" fillId="2" borderId="0" xfId="6" applyNumberFormat="1" applyFont="1" applyFill="1" applyBorder="1" applyAlignment="1" applyProtection="1"/>
    <xf numFmtId="0" fontId="0" fillId="0" borderId="0" xfId="0" applyFont="1" applyFill="1" applyBorder="1"/>
    <xf numFmtId="3" fontId="14" fillId="2" borderId="0" xfId="6" applyNumberFormat="1" applyFont="1" applyFill="1" applyBorder="1" applyAlignment="1" applyProtection="1"/>
    <xf numFmtId="9" fontId="8" fillId="2" borderId="0" xfId="10" applyFont="1" applyFill="1" applyBorder="1" applyAlignment="1"/>
    <xf numFmtId="9" fontId="8" fillId="0" borderId="0" xfId="10" applyFont="1" applyFill="1" applyBorder="1" applyAlignment="1"/>
    <xf numFmtId="9" fontId="9" fillId="2" borderId="0" xfId="10" applyFont="1" applyFill="1" applyBorder="1" applyAlignment="1"/>
    <xf numFmtId="9" fontId="9" fillId="0" borderId="0" xfId="10" applyFont="1" applyFill="1" applyBorder="1" applyAlignment="1"/>
    <xf numFmtId="9" fontId="9" fillId="0" borderId="0" xfId="10" applyNumberFormat="1" applyFont="1" applyFill="1" applyBorder="1" applyAlignment="1"/>
    <xf numFmtId="1" fontId="8" fillId="2" borderId="0" xfId="0" applyNumberFormat="1" applyFont="1" applyFill="1" applyBorder="1" applyAlignment="1"/>
    <xf numFmtId="1" fontId="8" fillId="0" borderId="0" xfId="0" applyNumberFormat="1" applyFont="1" applyFill="1" applyBorder="1" applyAlignment="1"/>
    <xf numFmtId="1" fontId="24" fillId="2" borderId="0" xfId="0" applyNumberFormat="1" applyFont="1" applyFill="1" applyBorder="1" applyAlignment="1"/>
    <xf numFmtId="1" fontId="9" fillId="0" borderId="0" xfId="3" applyNumberFormat="1" applyFont="1" applyFill="1" applyBorder="1" applyAlignment="1" applyProtection="1">
      <alignment horizontal="center"/>
    </xf>
    <xf numFmtId="0" fontId="61" fillId="0" borderId="0" xfId="0" applyFont="1" applyFill="1" applyBorder="1"/>
    <xf numFmtId="1" fontId="20" fillId="0" borderId="0" xfId="0" applyNumberFormat="1" applyFont="1" applyFill="1" applyBorder="1" applyAlignment="1"/>
    <xf numFmtId="165" fontId="20" fillId="0" borderId="0" xfId="0" applyNumberFormat="1" applyFont="1" applyFill="1" applyBorder="1" applyAlignment="1"/>
    <xf numFmtId="1" fontId="24" fillId="4" borderId="0" xfId="1" applyNumberFormat="1" applyFont="1" applyFill="1" applyBorder="1" applyAlignment="1">
      <alignment horizontal="center"/>
    </xf>
    <xf numFmtId="1" fontId="24" fillId="0" borderId="0" xfId="0" applyNumberFormat="1" applyFont="1" applyFill="1" applyBorder="1"/>
    <xf numFmtId="3" fontId="17" fillId="2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3" fontId="8" fillId="2" borderId="0" xfId="0" applyNumberFormat="1" applyFont="1" applyFill="1" applyBorder="1" applyAlignment="1"/>
    <xf numFmtId="3" fontId="8" fillId="0" borderId="0" xfId="0" applyNumberFormat="1" applyFont="1" applyFill="1" applyBorder="1" applyAlignment="1"/>
    <xf numFmtId="0" fontId="25" fillId="0" borderId="0" xfId="0" applyFont="1" applyBorder="1" applyAlignment="1">
      <alignment horizontal="right"/>
    </xf>
    <xf numFmtId="3" fontId="20" fillId="2" borderId="0" xfId="0" applyNumberFormat="1" applyFont="1" applyFill="1" applyBorder="1" applyAlignment="1"/>
    <xf numFmtId="3" fontId="20" fillId="2" borderId="0" xfId="0" applyNumberFormat="1" applyFont="1" applyFill="1" applyBorder="1" applyAlignment="1">
      <alignment horizontal="center"/>
    </xf>
    <xf numFmtId="3" fontId="9" fillId="2" borderId="0" xfId="0" applyNumberFormat="1" applyFont="1" applyFill="1" applyBorder="1" applyAlignment="1"/>
    <xf numFmtId="3" fontId="8" fillId="0" borderId="0" xfId="0" applyNumberFormat="1" applyFont="1" applyBorder="1" applyAlignment="1"/>
    <xf numFmtId="9" fontId="8" fillId="0" borderId="0" xfId="10" applyNumberFormat="1" applyFont="1" applyBorder="1" applyAlignment="1"/>
    <xf numFmtId="9" fontId="8" fillId="0" borderId="0" xfId="10" applyFont="1" applyBorder="1" applyAlignment="1"/>
    <xf numFmtId="0" fontId="53" fillId="0" borderId="0" xfId="0" applyFont="1" applyFill="1" applyBorder="1"/>
    <xf numFmtId="164" fontId="52" fillId="0" borderId="0" xfId="0" applyNumberFormat="1" applyFont="1" applyFill="1" applyBorder="1" applyAlignment="1"/>
    <xf numFmtId="165" fontId="17" fillId="0" borderId="0" xfId="0" applyNumberFormat="1" applyFont="1" applyFill="1" applyBorder="1" applyAlignment="1"/>
    <xf numFmtId="1" fontId="17" fillId="0" borderId="0" xfId="0" applyNumberFormat="1" applyFont="1" applyFill="1" applyBorder="1" applyAlignment="1"/>
    <xf numFmtId="3" fontId="17" fillId="0" borderId="0" xfId="0" applyNumberFormat="1" applyFont="1" applyFill="1" applyBorder="1" applyAlignment="1">
      <alignment horizontal="right"/>
    </xf>
    <xf numFmtId="164" fontId="17" fillId="0" borderId="0" xfId="4" applyNumberFormat="1" applyFont="1" applyFill="1" applyBorder="1" applyAlignment="1" applyProtection="1"/>
    <xf numFmtId="4" fontId="17" fillId="3" borderId="0" xfId="4" applyNumberFormat="1" applyFont="1" applyFill="1" applyBorder="1" applyAlignment="1" applyProtection="1">
      <alignment horizontal="right"/>
    </xf>
    <xf numFmtId="4" fontId="17" fillId="3" borderId="0" xfId="4" applyNumberFormat="1" applyFont="1" applyFill="1" applyBorder="1" applyAlignment="1" applyProtection="1"/>
    <xf numFmtId="0" fontId="48" fillId="0" borderId="0" xfId="0" applyFont="1" applyBorder="1"/>
    <xf numFmtId="0" fontId="49" fillId="0" borderId="0" xfId="0" applyFont="1" applyBorder="1"/>
    <xf numFmtId="0" fontId="20" fillId="0" borderId="0" xfId="0" applyFont="1" applyBorder="1"/>
    <xf numFmtId="0" fontId="46" fillId="0" borderId="0" xfId="0" applyFont="1" applyBorder="1" applyAlignment="1">
      <alignment wrapText="1"/>
    </xf>
    <xf numFmtId="3" fontId="20" fillId="0" borderId="10" xfId="0" applyNumberFormat="1" applyFont="1" applyFill="1" applyBorder="1" applyAlignment="1"/>
    <xf numFmtId="3" fontId="52" fillId="0" borderId="10" xfId="0" applyNumberFormat="1" applyFont="1" applyFill="1" applyBorder="1" applyAlignment="1"/>
    <xf numFmtId="3" fontId="15" fillId="2" borderId="10" xfId="6" applyNumberFormat="1" applyFont="1" applyFill="1" applyBorder="1" applyAlignment="1" applyProtection="1"/>
    <xf numFmtId="0" fontId="17" fillId="3" borderId="10" xfId="3" applyNumberFormat="1" applyFont="1" applyFill="1" applyBorder="1" applyAlignment="1" applyProtection="1">
      <alignment horizontal="center"/>
    </xf>
    <xf numFmtId="9" fontId="8" fillId="2" borderId="10" xfId="10" applyFont="1" applyFill="1" applyBorder="1" applyAlignment="1"/>
    <xf numFmtId="9" fontId="8" fillId="0" borderId="10" xfId="10" applyFont="1" applyFill="1" applyBorder="1" applyAlignment="1"/>
    <xf numFmtId="9" fontId="8" fillId="0" borderId="10" xfId="10" applyNumberFormat="1" applyFont="1" applyFill="1" applyBorder="1" applyAlignment="1"/>
    <xf numFmtId="1" fontId="8" fillId="2" borderId="10" xfId="0" applyNumberFormat="1" applyFont="1" applyFill="1" applyBorder="1" applyAlignment="1"/>
    <xf numFmtId="1" fontId="8" fillId="2" borderId="10" xfId="0" applyNumberFormat="1" applyFont="1" applyFill="1" applyBorder="1"/>
    <xf numFmtId="1" fontId="8" fillId="0" borderId="10" xfId="0" applyNumberFormat="1" applyFont="1" applyFill="1" applyBorder="1" applyAlignment="1"/>
    <xf numFmtId="1" fontId="8" fillId="0" borderId="10" xfId="0" applyNumberFormat="1" applyFont="1" applyFill="1" applyBorder="1"/>
    <xf numFmtId="1" fontId="17" fillId="0" borderId="10" xfId="0" applyNumberFormat="1" applyFont="1" applyFill="1" applyBorder="1"/>
    <xf numFmtId="3" fontId="17" fillId="2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/>
    <xf numFmtId="3" fontId="8" fillId="2" borderId="10" xfId="0" applyNumberFormat="1" applyFont="1" applyFill="1" applyBorder="1" applyAlignment="1"/>
    <xf numFmtId="3" fontId="8" fillId="2" borderId="10" xfId="0" applyNumberFormat="1" applyFont="1" applyFill="1" applyBorder="1"/>
    <xf numFmtId="0" fontId="9" fillId="0" borderId="9" xfId="5" applyNumberFormat="1" applyFont="1" applyFill="1" applyBorder="1" applyAlignment="1" applyProtection="1">
      <alignment horizontal="center"/>
    </xf>
    <xf numFmtId="0" fontId="8" fillId="3" borderId="3" xfId="3" applyNumberFormat="1" applyFont="1" applyFill="1" applyBorder="1" applyAlignment="1" applyProtection="1"/>
    <xf numFmtId="0" fontId="8" fillId="3" borderId="2" xfId="3" applyNumberFormat="1" applyFont="1" applyFill="1" applyBorder="1" applyAlignment="1" applyProtection="1"/>
    <xf numFmtId="0" fontId="9" fillId="0" borderId="4" xfId="5" applyNumberFormat="1" applyFont="1" applyFill="1" applyBorder="1" applyAlignment="1" applyProtection="1"/>
    <xf numFmtId="0" fontId="18" fillId="0" borderId="4" xfId="5" applyNumberFormat="1" applyFont="1" applyFill="1" applyBorder="1" applyAlignment="1" applyProtection="1">
      <alignment horizontal="left"/>
    </xf>
    <xf numFmtId="0" fontId="18" fillId="0" borderId="11" xfId="5" applyNumberFormat="1" applyFont="1" applyFill="1" applyBorder="1" applyAlignment="1" applyProtection="1">
      <alignment horizontal="left"/>
    </xf>
    <xf numFmtId="0" fontId="14" fillId="0" borderId="4" xfId="5" applyNumberFormat="1" applyFont="1" applyFill="1" applyBorder="1" applyAlignment="1" applyProtection="1"/>
    <xf numFmtId="0" fontId="18" fillId="0" borderId="4" xfId="5" applyNumberFormat="1" applyFont="1" applyFill="1" applyBorder="1" applyAlignment="1" applyProtection="1">
      <alignment horizontal="right"/>
    </xf>
    <xf numFmtId="0" fontId="24" fillId="0" borderId="4" xfId="5" applyNumberFormat="1" applyFont="1" applyFill="1" applyBorder="1" applyAlignment="1" applyProtection="1"/>
    <xf numFmtId="0" fontId="15" fillId="0" borderId="4" xfId="5" applyNumberFormat="1" applyFont="1" applyFill="1" applyBorder="1" applyAlignment="1" applyProtection="1"/>
    <xf numFmtId="0" fontId="15" fillId="0" borderId="11" xfId="5" applyNumberFormat="1" applyFont="1" applyFill="1" applyBorder="1" applyAlignment="1" applyProtection="1"/>
    <xf numFmtId="0" fontId="0" fillId="0" borderId="4" xfId="0" applyBorder="1"/>
    <xf numFmtId="0" fontId="0" fillId="0" borderId="11" xfId="0" applyBorder="1"/>
    <xf numFmtId="0" fontId="8" fillId="3" borderId="4" xfId="5" applyNumberFormat="1" applyFont="1" applyFill="1" applyBorder="1" applyAlignment="1" applyProtection="1">
      <alignment horizontal="left"/>
    </xf>
    <xf numFmtId="0" fontId="20" fillId="0" borderId="4" xfId="0" applyFont="1" applyBorder="1" applyAlignment="1">
      <alignment horizontal="right"/>
    </xf>
    <xf numFmtId="0" fontId="8" fillId="0" borderId="4" xfId="0" applyFont="1" applyBorder="1"/>
    <xf numFmtId="0" fontId="8" fillId="0" borderId="11" xfId="0" applyFont="1" applyBorder="1"/>
    <xf numFmtId="0" fontId="17" fillId="0" borderId="4" xfId="5" applyNumberFormat="1" applyFont="1" applyFill="1" applyBorder="1" applyAlignment="1" applyProtection="1">
      <alignment horizontal="left"/>
    </xf>
    <xf numFmtId="0" fontId="52" fillId="0" borderId="4" xfId="5" applyNumberFormat="1" applyFont="1" applyFill="1" applyBorder="1" applyAlignment="1" applyProtection="1">
      <alignment horizontal="left"/>
    </xf>
    <xf numFmtId="0" fontId="20" fillId="0" borderId="4" xfId="5" applyNumberFormat="1" applyFont="1" applyFill="1" applyBorder="1" applyAlignment="1" applyProtection="1">
      <alignment horizontal="left"/>
    </xf>
    <xf numFmtId="164" fontId="17" fillId="0" borderId="2" xfId="3" applyNumberFormat="1" applyFont="1" applyFill="1" applyBorder="1" applyAlignment="1" applyProtection="1">
      <alignment horizontal="center"/>
    </xf>
    <xf numFmtId="164" fontId="17" fillId="0" borderId="12" xfId="3" applyNumberFormat="1" applyFont="1" applyFill="1" applyBorder="1" applyAlignment="1" applyProtection="1">
      <alignment horizontal="center"/>
    </xf>
    <xf numFmtId="164" fontId="24" fillId="0" borderId="2" xfId="3" applyNumberFormat="1" applyFont="1" applyFill="1" applyBorder="1" applyAlignment="1" applyProtection="1">
      <alignment horizontal="center"/>
    </xf>
    <xf numFmtId="0" fontId="24" fillId="4" borderId="2" xfId="1" applyFont="1" applyFill="1" applyBorder="1" applyAlignment="1">
      <alignment horizontal="center"/>
    </xf>
    <xf numFmtId="0" fontId="17" fillId="0" borderId="12" xfId="3" applyNumberFormat="1" applyFont="1" applyFill="1" applyBorder="1" applyAlignment="1" applyProtection="1">
      <alignment horizontal="center"/>
    </xf>
    <xf numFmtId="0" fontId="17" fillId="3" borderId="12" xfId="3" applyNumberFormat="1" applyFont="1" applyFill="1" applyBorder="1" applyAlignment="1" applyProtection="1">
      <alignment horizontal="center"/>
    </xf>
    <xf numFmtId="0" fontId="24" fillId="3" borderId="2" xfId="3" applyNumberFormat="1" applyFont="1" applyFill="1" applyBorder="1" applyAlignment="1" applyProtection="1">
      <alignment horizontal="center"/>
    </xf>
    <xf numFmtId="0" fontId="24" fillId="0" borderId="2" xfId="3" applyNumberFormat="1" applyFont="1" applyFill="1" applyBorder="1" applyAlignment="1" applyProtection="1"/>
    <xf numFmtId="0" fontId="52" fillId="0" borderId="2" xfId="3" applyNumberFormat="1" applyFont="1" applyFill="1" applyBorder="1" applyAlignment="1" applyProtection="1">
      <alignment horizontal="center"/>
    </xf>
    <xf numFmtId="0" fontId="24" fillId="3" borderId="13" xfId="3" applyNumberFormat="1" applyFont="1" applyFill="1" applyBorder="1" applyAlignment="1" applyProtection="1">
      <alignment horizontal="center"/>
    </xf>
    <xf numFmtId="0" fontId="24" fillId="0" borderId="2" xfId="3" applyNumberFormat="1" applyFont="1" applyFill="1" applyBorder="1" applyAlignment="1" applyProtection="1">
      <alignment horizontal="center"/>
    </xf>
    <xf numFmtId="0" fontId="24" fillId="4" borderId="4" xfId="1" applyFont="1" applyFill="1" applyBorder="1" applyAlignment="1">
      <alignment horizontal="center"/>
    </xf>
    <xf numFmtId="0" fontId="12" fillId="4" borderId="4" xfId="1" applyFont="1" applyFill="1" applyBorder="1" applyAlignment="1">
      <alignment horizontal="center" wrapText="1"/>
    </xf>
    <xf numFmtId="0" fontId="9" fillId="0" borderId="2" xfId="3" applyNumberFormat="1" applyFont="1" applyFill="1" applyBorder="1" applyAlignment="1" applyProtection="1">
      <alignment horizontal="center" wrapText="1"/>
    </xf>
    <xf numFmtId="0" fontId="8" fillId="3" borderId="3" xfId="3" applyNumberFormat="1" applyFont="1" applyFill="1" applyBorder="1" applyAlignment="1" applyProtection="1">
      <alignment horizontal="center" wrapText="1"/>
    </xf>
    <xf numFmtId="0" fontId="8" fillId="3" borderId="2" xfId="3" applyNumberFormat="1" applyFont="1" applyFill="1" applyBorder="1" applyAlignment="1" applyProtection="1">
      <alignment horizontal="center" wrapText="1"/>
    </xf>
    <xf numFmtId="0" fontId="8" fillId="0" borderId="3" xfId="3" applyNumberFormat="1" applyFont="1" applyFill="1" applyBorder="1" applyAlignment="1" applyProtection="1">
      <alignment horizontal="center" wrapText="1"/>
    </xf>
    <xf numFmtId="3" fontId="52" fillId="2" borderId="10" xfId="0" applyNumberFormat="1" applyFont="1" applyFill="1" applyBorder="1" applyAlignment="1">
      <alignment horizontal="right"/>
    </xf>
    <xf numFmtId="164" fontId="8" fillId="0" borderId="10" xfId="3" applyNumberFormat="1" applyFont="1" applyFill="1" applyBorder="1" applyAlignment="1" applyProtection="1"/>
    <xf numFmtId="164" fontId="8" fillId="0" borderId="10" xfId="3" applyNumberFormat="1" applyFont="1" applyFill="1" applyBorder="1" applyAlignment="1" applyProtection="1">
      <alignment horizontal="right"/>
    </xf>
    <xf numFmtId="0" fontId="18" fillId="0" borderId="0" xfId="5" applyNumberFormat="1" applyFont="1" applyFill="1" applyBorder="1" applyAlignment="1" applyProtection="1">
      <alignment horizontal="right"/>
    </xf>
    <xf numFmtId="164" fontId="17" fillId="0" borderId="1" xfId="3" applyNumberFormat="1" applyFont="1" applyFill="1" applyBorder="1" applyAlignment="1" applyProtection="1">
      <alignment horizontal="center"/>
    </xf>
    <xf numFmtId="0" fontId="68" fillId="0" borderId="4" xfId="5" applyNumberFormat="1" applyFont="1" applyFill="1" applyBorder="1" applyAlignment="1" applyProtection="1">
      <alignment horizontal="left"/>
    </xf>
    <xf numFmtId="3" fontId="68" fillId="0" borderId="0" xfId="6" applyNumberFormat="1" applyFont="1" applyFill="1" applyBorder="1" applyAlignment="1" applyProtection="1"/>
    <xf numFmtId="3" fontId="63" fillId="0" borderId="0" xfId="6" applyNumberFormat="1" applyFont="1" applyFill="1" applyBorder="1" applyAlignment="1" applyProtection="1"/>
    <xf numFmtId="3" fontId="22" fillId="0" borderId="0" xfId="0" applyNumberFormat="1" applyFont="1" applyFill="1" applyBorder="1" applyAlignment="1"/>
    <xf numFmtId="3" fontId="63" fillId="0" borderId="0" xfId="0" applyNumberFormat="1" applyFont="1" applyFill="1" applyBorder="1" applyAlignment="1"/>
    <xf numFmtId="0" fontId="15" fillId="3" borderId="11" xfId="5" applyNumberFormat="1" applyFont="1" applyFill="1" applyBorder="1" applyAlignment="1" applyProtection="1">
      <alignment horizontal="center"/>
    </xf>
    <xf numFmtId="9" fontId="17" fillId="2" borderId="0" xfId="10" applyNumberFormat="1" applyFont="1" applyFill="1" applyBorder="1"/>
    <xf numFmtId="9" fontId="17" fillId="0" borderId="0" xfId="10" applyNumberFormat="1" applyFont="1" applyFill="1" applyBorder="1"/>
    <xf numFmtId="9" fontId="8" fillId="2" borderId="0" xfId="10" applyNumberFormat="1" applyFont="1" applyFill="1" applyBorder="1"/>
    <xf numFmtId="0" fontId="52" fillId="2" borderId="0" xfId="2" applyFont="1" applyFill="1" applyBorder="1" applyAlignment="1">
      <alignment horizontal="right"/>
    </xf>
    <xf numFmtId="0" fontId="34" fillId="5" borderId="8" xfId="8" applyFont="1" applyFill="1" applyBorder="1" applyAlignment="1">
      <alignment horizontal="left" vertical="center"/>
    </xf>
    <xf numFmtId="0" fontId="34" fillId="5" borderId="6" xfId="8" applyFont="1" applyFill="1" applyBorder="1" applyAlignment="1">
      <alignment horizontal="left" vertical="center"/>
    </xf>
    <xf numFmtId="0" fontId="34" fillId="5" borderId="7" xfId="8" applyFont="1" applyFill="1" applyBorder="1" applyAlignment="1">
      <alignment horizontal="left" vertical="center"/>
    </xf>
    <xf numFmtId="0" fontId="13" fillId="4" borderId="0" xfId="1" applyFont="1" applyFill="1" applyBorder="1" applyAlignment="1">
      <alignment horizontal="center" vertical="center"/>
    </xf>
    <xf numFmtId="0" fontId="24" fillId="5" borderId="0" xfId="3" applyNumberFormat="1" applyFont="1" applyFill="1" applyBorder="1" applyAlignment="1" applyProtection="1">
      <alignment horizontal="center"/>
    </xf>
    <xf numFmtId="0" fontId="24" fillId="4" borderId="0" xfId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2" fillId="4" borderId="0" xfId="1" applyFont="1" applyFill="1" applyBorder="1" applyAlignment="1">
      <alignment horizontal="center"/>
    </xf>
    <xf numFmtId="0" fontId="9" fillId="5" borderId="0" xfId="3" applyNumberFormat="1" applyFont="1" applyFill="1" applyBorder="1" applyAlignment="1" applyProtection="1">
      <alignment horizontal="center"/>
    </xf>
    <xf numFmtId="1" fontId="9" fillId="5" borderId="0" xfId="3" applyNumberFormat="1" applyFont="1" applyFill="1" applyBorder="1" applyAlignment="1" applyProtection="1">
      <alignment horizontal="center"/>
    </xf>
    <xf numFmtId="3" fontId="6" fillId="0" borderId="0" xfId="8" applyNumberFormat="1" applyFill="1" applyBorder="1" applyAlignment="1" applyProtection="1">
      <alignment horizontal="left"/>
    </xf>
    <xf numFmtId="3" fontId="10" fillId="0" borderId="0" xfId="8" applyNumberFormat="1" applyFont="1" applyFill="1" applyBorder="1" applyAlignment="1" applyProtection="1">
      <alignment horizontal="left"/>
    </xf>
    <xf numFmtId="1" fontId="24" fillId="4" borderId="0" xfId="1" applyNumberFormat="1" applyFont="1" applyFill="1" applyBorder="1" applyAlignment="1">
      <alignment horizontal="center"/>
    </xf>
    <xf numFmtId="0" fontId="13" fillId="4" borderId="4" xfId="1" applyFont="1" applyFill="1" applyBorder="1" applyAlignment="1">
      <alignment horizontal="center" vertical="center"/>
    </xf>
    <xf numFmtId="0" fontId="13" fillId="4" borderId="2" xfId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left" wrapText="1"/>
    </xf>
    <xf numFmtId="0" fontId="46" fillId="0" borderId="0" xfId="0" applyFont="1" applyBorder="1" applyAlignment="1">
      <alignment horizontal="left"/>
    </xf>
    <xf numFmtId="0" fontId="44" fillId="3" borderId="0" xfId="3" applyNumberFormat="1" applyFont="1" applyFill="1" applyBorder="1" applyAlignment="1" applyProtection="1">
      <alignment horizontal="left" wrapText="1"/>
    </xf>
    <xf numFmtId="0" fontId="6" fillId="0" borderId="0" xfId="8" applyNumberFormat="1" applyFill="1" applyBorder="1" applyAlignment="1" applyProtection="1">
      <alignment horizontal="left" wrapText="1"/>
    </xf>
    <xf numFmtId="0" fontId="46" fillId="0" borderId="0" xfId="0" applyFont="1" applyBorder="1" applyAlignment="1">
      <alignment horizontal="left" vertical="top" wrapText="1"/>
    </xf>
    <xf numFmtId="0" fontId="12" fillId="2" borderId="0" xfId="1" applyFont="1" applyFill="1" applyBorder="1" applyAlignment="1">
      <alignment wrapText="1"/>
    </xf>
    <xf numFmtId="0" fontId="6" fillId="2" borderId="0" xfId="8" applyFill="1" applyBorder="1" applyAlignment="1">
      <alignment wrapText="1"/>
    </xf>
    <xf numFmtId="0" fontId="6" fillId="2" borderId="0" xfId="8" applyNumberFormat="1" applyFill="1" applyBorder="1" applyAlignment="1" applyProtection="1">
      <alignment wrapText="1"/>
    </xf>
    <xf numFmtId="0" fontId="10" fillId="2" borderId="0" xfId="8" applyNumberFormat="1" applyFont="1" applyFill="1" applyBorder="1" applyAlignment="1" applyProtection="1">
      <alignment wrapText="1"/>
    </xf>
    <xf numFmtId="0" fontId="26" fillId="2" borderId="0" xfId="9" applyFont="1" applyFill="1" applyBorder="1" applyAlignment="1">
      <alignment wrapText="1"/>
    </xf>
    <xf numFmtId="0" fontId="8" fillId="2" borderId="0" xfId="9" applyFont="1" applyFill="1" applyBorder="1" applyAlignment="1">
      <alignment wrapText="1"/>
    </xf>
    <xf numFmtId="0" fontId="27" fillId="2" borderId="0" xfId="8" applyNumberFormat="1" applyFont="1" applyFill="1" applyBorder="1" applyAlignment="1" applyProtection="1">
      <alignment wrapText="1"/>
    </xf>
    <xf numFmtId="0" fontId="6" fillId="2" borderId="0" xfId="8" applyFill="1" applyBorder="1" applyAlignment="1">
      <alignment horizontal="left" wrapText="1"/>
    </xf>
    <xf numFmtId="0" fontId="10" fillId="2" borderId="0" xfId="8" applyNumberFormat="1" applyFont="1" applyFill="1" applyBorder="1" applyAlignment="1" applyProtection="1">
      <alignment horizontal="left" wrapText="1"/>
    </xf>
  </cellXfs>
  <cellStyles count="11">
    <cellStyle name="fa_column_header_empty" xfId="2"/>
    <cellStyle name="fa_data_bold_1_grouped" xfId="6"/>
    <cellStyle name="fa_data_standard_0_grouped" xfId="7"/>
    <cellStyle name="fa_data_standard_1_grouped" xfId="4"/>
    <cellStyle name="fa_row_header_bold 2" xfId="5"/>
    <cellStyle name="fa_row_header_standard 2" xfId="3"/>
    <cellStyle name="Гиперссылка" xfId="8" builtinId="8"/>
    <cellStyle name="Обычный" xfId="0" builtinId="0"/>
    <cellStyle name="Обычный 2" xfId="1"/>
    <cellStyle name="Обычный 3" xfId="9"/>
    <cellStyle name="Процентный" xfId="10" builtinId="5"/>
  </cellStyles>
  <dxfs count="0"/>
  <tableStyles count="0" defaultTableStyle="TableStyleMedium2" defaultPivotStyle="PivotStyleLight16"/>
  <colors>
    <mruColors>
      <color rgb="FF2176C3"/>
      <color rgb="FF2175C1"/>
      <color rgb="FF0099FF"/>
      <color rgb="FF207DCF"/>
      <color rgb="FF336699"/>
      <color rgb="FF6D94C3"/>
      <color rgb="FF5B9BD5"/>
      <color rgb="FF0099CC"/>
      <color rgb="FF3399FF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</xdr:colOff>
      <xdr:row>3</xdr:row>
      <xdr:rowOff>152400</xdr:rowOff>
    </xdr:from>
    <xdr:to>
      <xdr:col>15</xdr:col>
      <xdr:colOff>490059</xdr:colOff>
      <xdr:row>6</xdr:row>
      <xdr:rowOff>132337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7150" y="800100"/>
          <a:ext cx="1518759" cy="5895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33844</xdr:rowOff>
    </xdr:from>
    <xdr:to>
      <xdr:col>2</xdr:col>
      <xdr:colOff>385567</xdr:colOff>
      <xdr:row>3</xdr:row>
      <xdr:rowOff>12062</xdr:rowOff>
    </xdr:to>
    <xdr:pic>
      <xdr:nvPicPr>
        <xdr:cNvPr id="2" name="Рисунок 1" descr="C:\Users\AlekseenkoVV\Documents\РАБОЧИЙ СТОЛ\ВНУТРЕННИЕ ДОКУМЕНТЫ\BRANDBOOK NN_2016\ЛОГОПИТ 2016\Logoblocks\NORNICKEL_logoblock_main_1color_inv_rus_preview.jpg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100519"/>
          <a:ext cx="838685" cy="559243"/>
        </a:xfrm>
        <a:prstGeom prst="rect">
          <a:avLst/>
        </a:prstGeom>
        <a:solidFill>
          <a:srgbClr val="0099FF"/>
        </a:solidFill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U%20K\1999\Daisy\Cambridge\models\integrated%20merger%20mode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rkovskaya-os\&#1090;&#1072;&#1090;&#1100;&#1103;&#1085;&#1072;\data\Paper%20&amp;%20Forest\Comps\extra%20pag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9;&#1050;&#1080;&#1051;/&#1092;&#1086;&#1088;&#1084;&#1072;&#1090;%20%20&#1087;&#1086;%20&#1050;&#1086;&#1084;&#1087;&#1072;&#1085;&#1080;&#1080;/&#1054;&#1058;&#1063;&#1045;&#1058;&#1067;_2016/&#1050;&#1072;&#1088;&#1090;&#1086;&#1090;&#1077;&#1082;&#1072;/&#1050;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59;&#1050;&#1080;&#1051;/&#1041;&#1102;&#1076;&#1078;&#1077;&#1090;%202018/&#1043;&#1086;&#1076;&#1086;&#1074;&#1086;&#1081;_&#1086;&#1090;&#1095;&#1077;&#1090;_2017/&#1050;&#1057;&#1054;/&#1062;&#1077;&#1085;&#1090;&#1088;&#1072;&#1083;&#1080;&#1079;&#1086;&#1074;&#1072;&#1085;&#1085;&#1099;&#1077;%20&#1092;&#1086;&#1088;&#1084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TOC"/>
      <sheetName val="Assum"/>
      <sheetName val="sense"/>
      <sheetName val="disp"/>
      <sheetName val="Op-BS"/>
      <sheetName val="IS"/>
      <sheetName val="BSCF"/>
      <sheetName val="Ratios"/>
      <sheetName val="Matrix"/>
      <sheetName val="Contrib"/>
      <sheetName val="proforma"/>
      <sheetName val="AlbanyIS"/>
      <sheetName val="AlbanyBSCF"/>
      <sheetName val="AlbanyRat"/>
      <sheetName val="CambridgeIS"/>
      <sheetName val="CambridgeBSCF"/>
      <sheetName val="CambridgeRat"/>
      <sheetName val="LBO"/>
      <sheetName val="Лист7"/>
      <sheetName val="ЧПД и ВНД СПУ"/>
      <sheetName val="NLMK-EU-Strip"/>
      <sheetName val="NLMK-EU-Strip  (2)"/>
      <sheetName val="NLMK-EU-Plate  (2)"/>
      <sheetName val="План счетов PL"/>
      <sheetName val="План счетов BS"/>
      <sheetName val="ДКИС"/>
      <sheetName val="Список направлений "/>
      <sheetName val="Pick Lists"/>
      <sheetName val="исход. дан."/>
      <sheetName val="Лист1"/>
      <sheetName val="Лист2"/>
      <sheetName val="Лист3"/>
      <sheetName val="NLMK-USA-MT"/>
      <sheetName val="ЧПД_и_ВНД_СПУ"/>
      <sheetName val="NLMK-EU-Strip__(2)"/>
      <sheetName val="NLMK-EU-Plate__(2)"/>
      <sheetName val="План_счетов_PL"/>
      <sheetName val="План_счетов_BS"/>
      <sheetName val="Список_направлений_"/>
      <sheetName val="DATA-ACT"/>
      <sheetName val="GUBT"/>
      <sheetName val="DATA-BDG"/>
      <sheetName val="IV_Blok"/>
      <sheetName val="себест_OZR"/>
      <sheetName val="SUMMARY"/>
      <sheetName val="Тепло"/>
      <sheetName val="#ССЫЛКА"/>
      <sheetName val="Lighting"/>
      <sheetName val="Others"/>
      <sheetName val="Cover"/>
      <sheetName val="Choiсe"/>
      <sheetName val="Kr-Xe"/>
      <sheetName val="Sens"/>
      <sheetName val="Частотники"/>
      <sheetName val="Waste_gas"/>
      <sheetName val="Производство"/>
      <sheetName val="КалькуляцияТСЦ"/>
      <sheetName val="КалькуляцияЖДЦ"/>
      <sheetName val="КалькуляцияРСЦ"/>
      <sheetName val="КалькуляцияЦТТ"/>
      <sheetName val="КалькуляцияДОФ"/>
      <sheetName val="КалькуляцияРудник"/>
      <sheetName val="КалькуляцияОбщезав_2"/>
      <sheetName val="Баланс"/>
      <sheetName val="Общие_показатели1"/>
      <sheetName val="Калькуляция_по_цехам1"/>
      <sheetName val="Реализация"/>
      <sheetName val="Общая_смета_затрат1"/>
      <sheetName val="список стран_тип командировок"/>
      <sheetName val="МВЗ"/>
      <sheetName val="2013"/>
      <sheetName val="динамика расходов"/>
      <sheetName val="АНЛИЗ МЕТИЗ"/>
      <sheetName val="Справочник"/>
    </sheetNames>
    <sheetDataSet>
      <sheetData sheetId="0" refreshError="1"/>
      <sheetData sheetId="1" refreshError="1"/>
      <sheetData sheetId="2" refreshError="1">
        <row r="13">
          <cell r="E13">
            <v>240.5</v>
          </cell>
        </row>
        <row r="14">
          <cell r="E14">
            <v>10.908587000000001</v>
          </cell>
        </row>
        <row r="16">
          <cell r="E16">
            <v>691.37361425000006</v>
          </cell>
        </row>
        <row r="18">
          <cell r="E18">
            <v>249.1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12">
          <cell r="B12" t="str">
            <v>9010</v>
          </cell>
        </row>
      </sheetData>
      <sheetData sheetId="31">
        <row r="12">
          <cell r="B12" t="str">
            <v>9010</v>
          </cell>
        </row>
      </sheetData>
      <sheetData sheetId="32">
        <row r="12">
          <cell r="B12" t="str">
            <v>9010</v>
          </cell>
        </row>
      </sheetData>
      <sheetData sheetId="33" refreshError="1"/>
      <sheetData sheetId="34">
        <row r="12">
          <cell r="B12" t="str">
            <v>9010</v>
          </cell>
        </row>
      </sheetData>
      <sheetData sheetId="35">
        <row r="12">
          <cell r="B12" t="str">
            <v>9010</v>
          </cell>
        </row>
      </sheetData>
      <sheetData sheetId="36">
        <row r="12">
          <cell r="B12" t="str">
            <v>9010</v>
          </cell>
        </row>
      </sheetData>
      <sheetData sheetId="37">
        <row r="12">
          <cell r="B12" t="str">
            <v>9010</v>
          </cell>
        </row>
      </sheetData>
      <sheetData sheetId="38">
        <row r="12">
          <cell r="B12" t="str">
            <v>9010</v>
          </cell>
        </row>
      </sheetData>
      <sheetData sheetId="39">
        <row r="12">
          <cell r="B12" t="str">
            <v>9010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O"/>
      <sheetName val="WP Market Capitalization"/>
      <sheetName val="WP Output-change ytd"/>
      <sheetName val="WP Output-Price volatility"/>
      <sheetName val="Comps"/>
      <sheetName val="Mkt Cap"/>
      <sheetName val="WACC"/>
      <sheetName val="Calc"/>
      <sheetName val="CGS per Ton"/>
      <sheetName val="Sales"/>
      <sheetName val="Price"/>
      <sheetName val="Р2"/>
      <sheetName val="KBC-1996-500 MBEF-échéancier"/>
      <sheetName val="Summary"/>
      <sheetName val="исход. дан."/>
      <sheetName val="Template"/>
      <sheetName val="DATA-ACT"/>
      <sheetName val="DATA-BDG"/>
      <sheetName val="Cover"/>
      <sheetName val="паспор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Analysis of Valuation Multiples of Comparable Flat-Rolled Steel Companies</v>
          </cell>
        </row>
        <row r="2">
          <cell r="A2" t="str">
            <v>Public Market Multiples Including Pension Liabilities and OPEBs</v>
          </cell>
        </row>
        <row r="5">
          <cell r="L5" t="str">
            <v>Market Value of Equity as a Multiple of: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 t="str">
            <v>Market Capitalization as a Multiple of:</v>
          </cell>
        </row>
        <row r="6">
          <cell r="J6" t="str">
            <v>Adj.</v>
          </cell>
          <cell r="K6">
            <v>0</v>
          </cell>
          <cell r="L6" t="str">
            <v>LTM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 t="str">
            <v>LTM</v>
          </cell>
        </row>
        <row r="7">
          <cell r="D7" t="str">
            <v>Price</v>
          </cell>
          <cell r="E7">
            <v>0</v>
          </cell>
          <cell r="F7" t="str">
            <v>Market</v>
          </cell>
          <cell r="G7">
            <v>0</v>
          </cell>
          <cell r="H7" t="str">
            <v>Market</v>
          </cell>
          <cell r="I7">
            <v>0</v>
          </cell>
          <cell r="J7" t="str">
            <v>Market</v>
          </cell>
          <cell r="K7">
            <v>0</v>
          </cell>
          <cell r="L7" t="str">
            <v>Net to</v>
          </cell>
          <cell r="M7">
            <v>0</v>
          </cell>
          <cell r="N7" t="str">
            <v>1999E</v>
          </cell>
          <cell r="O7">
            <v>0</v>
          </cell>
          <cell r="P7" t="str">
            <v>2000E</v>
          </cell>
          <cell r="Q7">
            <v>0</v>
          </cell>
          <cell r="R7" t="str">
            <v>Cash</v>
          </cell>
          <cell r="S7">
            <v>0</v>
          </cell>
          <cell r="T7" t="str">
            <v>LFQ</v>
          </cell>
          <cell r="U7">
            <v>0</v>
          </cell>
          <cell r="V7" t="str">
            <v>LTM</v>
          </cell>
          <cell r="W7">
            <v>0</v>
          </cell>
          <cell r="X7" t="str">
            <v>LTM</v>
          </cell>
          <cell r="Y7">
            <v>0</v>
          </cell>
          <cell r="Z7" t="str">
            <v>LTM</v>
          </cell>
        </row>
        <row r="8">
          <cell r="A8" t="str">
            <v>Company</v>
          </cell>
          <cell r="B8">
            <v>0</v>
          </cell>
          <cell r="C8">
            <v>0</v>
          </cell>
          <cell r="D8" t="str">
            <v>Sep-13-99</v>
          </cell>
          <cell r="E8">
            <v>0</v>
          </cell>
          <cell r="F8" t="str">
            <v>Value</v>
          </cell>
          <cell r="G8">
            <v>0</v>
          </cell>
          <cell r="H8" t="str">
            <v>Cap. (a)</v>
          </cell>
          <cell r="I8">
            <v>0</v>
          </cell>
          <cell r="J8" t="str">
            <v>Cap. (b)</v>
          </cell>
          <cell r="K8">
            <v>0</v>
          </cell>
          <cell r="L8" t="str">
            <v>Common</v>
          </cell>
          <cell r="M8">
            <v>0</v>
          </cell>
          <cell r="N8" t="str">
            <v>EPS. (c)</v>
          </cell>
          <cell r="O8">
            <v>0</v>
          </cell>
          <cell r="P8" t="str">
            <v>EPS (c)</v>
          </cell>
          <cell r="Q8">
            <v>0</v>
          </cell>
          <cell r="R8" t="str">
            <v>Flow (d)</v>
          </cell>
          <cell r="S8">
            <v>0</v>
          </cell>
          <cell r="T8" t="str">
            <v>Equity</v>
          </cell>
          <cell r="U8">
            <v>0</v>
          </cell>
          <cell r="V8" t="str">
            <v>Sales</v>
          </cell>
          <cell r="W8">
            <v>0</v>
          </cell>
          <cell r="X8" t="str">
            <v>EBITDA</v>
          </cell>
          <cell r="Y8">
            <v>0</v>
          </cell>
          <cell r="Z8" t="str">
            <v>EBIT</v>
          </cell>
        </row>
        <row r="11">
          <cell r="A11" t="str">
            <v>Company Name</v>
          </cell>
          <cell r="B11">
            <v>0</v>
          </cell>
          <cell r="C11">
            <v>0</v>
          </cell>
          <cell r="D11" t="e">
            <v>#NAME?</v>
          </cell>
          <cell r="E11">
            <v>0</v>
          </cell>
          <cell r="F11">
            <v>1210.4707062500001</v>
          </cell>
          <cell r="G11">
            <v>0</v>
          </cell>
          <cell r="H11">
            <v>1210.4707062500001</v>
          </cell>
          <cell r="I11">
            <v>0</v>
          </cell>
          <cell r="J11" t="e">
            <v>#REF!</v>
          </cell>
          <cell r="K11">
            <v>0</v>
          </cell>
          <cell r="L11" t="e">
            <v>#REF!</v>
          </cell>
          <cell r="M11">
            <v>0</v>
          </cell>
          <cell r="N11" t="e">
            <v>#REF!</v>
          </cell>
          <cell r="O11">
            <v>0</v>
          </cell>
          <cell r="P11" t="e">
            <v>#REF!</v>
          </cell>
          <cell r="Q11">
            <v>0</v>
          </cell>
          <cell r="R11" t="e">
            <v>#REF!</v>
          </cell>
          <cell r="S11">
            <v>0</v>
          </cell>
          <cell r="T11" t="e">
            <v>#REF!</v>
          </cell>
          <cell r="U11">
            <v>0</v>
          </cell>
          <cell r="V11" t="e">
            <v>#REF!</v>
          </cell>
          <cell r="W11">
            <v>0</v>
          </cell>
          <cell r="X11" t="e">
            <v>#REF!</v>
          </cell>
          <cell r="Y11">
            <v>0</v>
          </cell>
          <cell r="Z11" t="e">
            <v>#REF!</v>
          </cell>
        </row>
        <row r="12">
          <cell r="A12" t="e">
            <v>#REF!</v>
          </cell>
          <cell r="B12">
            <v>0</v>
          </cell>
          <cell r="C12">
            <v>0</v>
          </cell>
          <cell r="D12" t="e">
            <v>#REF!</v>
          </cell>
          <cell r="E12">
            <v>0</v>
          </cell>
          <cell r="F12" t="e">
            <v>#REF!</v>
          </cell>
          <cell r="G12">
            <v>0</v>
          </cell>
          <cell r="H12" t="e">
            <v>#REF!</v>
          </cell>
          <cell r="I12">
            <v>0</v>
          </cell>
          <cell r="J12" t="e">
            <v>#REF!</v>
          </cell>
          <cell r="K12">
            <v>0</v>
          </cell>
          <cell r="L12" t="e">
            <v>#REF!</v>
          </cell>
          <cell r="M12">
            <v>0</v>
          </cell>
          <cell r="N12" t="e">
            <v>#REF!</v>
          </cell>
          <cell r="O12">
            <v>0</v>
          </cell>
          <cell r="P12" t="e">
            <v>#REF!</v>
          </cell>
          <cell r="Q12" t="str">
            <v>*</v>
          </cell>
          <cell r="R12" t="e">
            <v>#REF!</v>
          </cell>
          <cell r="S12">
            <v>0</v>
          </cell>
          <cell r="T12" t="e">
            <v>#REF!</v>
          </cell>
          <cell r="U12">
            <v>0</v>
          </cell>
          <cell r="V12" t="e">
            <v>#REF!</v>
          </cell>
          <cell r="W12">
            <v>0</v>
          </cell>
          <cell r="X12" t="e">
            <v>#REF!</v>
          </cell>
          <cell r="Y12" t="str">
            <v>*</v>
          </cell>
          <cell r="Z12" t="e">
            <v>#REF!</v>
          </cell>
        </row>
        <row r="13">
          <cell r="A13" t="e">
            <v>#REF!</v>
          </cell>
          <cell r="B13">
            <v>0</v>
          </cell>
          <cell r="C13">
            <v>0</v>
          </cell>
          <cell r="D13" t="e">
            <v>#REF!</v>
          </cell>
          <cell r="E13">
            <v>0</v>
          </cell>
          <cell r="F13" t="e">
            <v>#REF!</v>
          </cell>
          <cell r="G13">
            <v>0</v>
          </cell>
          <cell r="H13" t="e">
            <v>#REF!</v>
          </cell>
          <cell r="I13">
            <v>0</v>
          </cell>
          <cell r="J13" t="e">
            <v>#REF!</v>
          </cell>
          <cell r="K13">
            <v>0</v>
          </cell>
          <cell r="L13" t="e">
            <v>#REF!</v>
          </cell>
          <cell r="M13">
            <v>0</v>
          </cell>
          <cell r="N13" t="e">
            <v>#REF!</v>
          </cell>
          <cell r="O13">
            <v>0</v>
          </cell>
          <cell r="P13" t="e">
            <v>#REF!</v>
          </cell>
          <cell r="Q13">
            <v>0</v>
          </cell>
          <cell r="R13" t="e">
            <v>#REF!</v>
          </cell>
          <cell r="S13">
            <v>0</v>
          </cell>
          <cell r="T13" t="e">
            <v>#REF!</v>
          </cell>
          <cell r="U13">
            <v>0</v>
          </cell>
          <cell r="V13" t="e">
            <v>#REF!</v>
          </cell>
          <cell r="W13">
            <v>0</v>
          </cell>
          <cell r="X13" t="e">
            <v>#REF!</v>
          </cell>
          <cell r="Y13">
            <v>0</v>
          </cell>
          <cell r="Z13" t="e">
            <v>#REF!</v>
          </cell>
          <cell r="AA13" t="str">
            <v>*</v>
          </cell>
        </row>
        <row r="14">
          <cell r="A14" t="e">
            <v>#REF!</v>
          </cell>
          <cell r="B14">
            <v>0</v>
          </cell>
          <cell r="C14">
            <v>0</v>
          </cell>
          <cell r="D14" t="e">
            <v>#REF!</v>
          </cell>
          <cell r="E14">
            <v>0</v>
          </cell>
          <cell r="F14" t="e">
            <v>#REF!</v>
          </cell>
          <cell r="G14">
            <v>0</v>
          </cell>
          <cell r="H14" t="e">
            <v>#REF!</v>
          </cell>
          <cell r="I14">
            <v>0</v>
          </cell>
          <cell r="J14" t="e">
            <v>#REF!</v>
          </cell>
          <cell r="K14">
            <v>0</v>
          </cell>
          <cell r="L14" t="e">
            <v>#REF!</v>
          </cell>
          <cell r="M14">
            <v>0</v>
          </cell>
          <cell r="N14" t="e">
            <v>#REF!</v>
          </cell>
          <cell r="O14">
            <v>0</v>
          </cell>
          <cell r="P14" t="e">
            <v>#REF!</v>
          </cell>
          <cell r="Q14">
            <v>0</v>
          </cell>
          <cell r="R14" t="e">
            <v>#REF!</v>
          </cell>
          <cell r="S14">
            <v>0</v>
          </cell>
          <cell r="T14" t="e">
            <v>#REF!</v>
          </cell>
          <cell r="U14">
            <v>0</v>
          </cell>
          <cell r="V14" t="e">
            <v>#REF!</v>
          </cell>
          <cell r="W14">
            <v>0</v>
          </cell>
          <cell r="X14" t="e">
            <v>#REF!</v>
          </cell>
          <cell r="Y14">
            <v>0</v>
          </cell>
          <cell r="Z14" t="e">
            <v>#REF!</v>
          </cell>
        </row>
        <row r="15">
          <cell r="A15" t="e">
            <v>#REF!</v>
          </cell>
          <cell r="B15">
            <v>0</v>
          </cell>
          <cell r="C15">
            <v>0</v>
          </cell>
          <cell r="D15" t="e">
            <v>#REF!</v>
          </cell>
          <cell r="E15">
            <v>0</v>
          </cell>
          <cell r="F15" t="e">
            <v>#REF!</v>
          </cell>
          <cell r="G15">
            <v>0</v>
          </cell>
          <cell r="H15" t="e">
            <v>#REF!</v>
          </cell>
          <cell r="I15">
            <v>0</v>
          </cell>
          <cell r="J15" t="e">
            <v>#REF!</v>
          </cell>
          <cell r="K15">
            <v>0</v>
          </cell>
          <cell r="L15" t="e">
            <v>#REF!</v>
          </cell>
          <cell r="M15">
            <v>0</v>
          </cell>
          <cell r="N15" t="e">
            <v>#REF!</v>
          </cell>
          <cell r="O15">
            <v>0</v>
          </cell>
          <cell r="P15" t="e">
            <v>#REF!</v>
          </cell>
          <cell r="Q15">
            <v>0</v>
          </cell>
          <cell r="R15" t="e">
            <v>#REF!</v>
          </cell>
          <cell r="S15">
            <v>0</v>
          </cell>
          <cell r="T15" t="e">
            <v>#REF!</v>
          </cell>
          <cell r="U15">
            <v>0</v>
          </cell>
          <cell r="V15" t="e">
            <v>#REF!</v>
          </cell>
          <cell r="W15">
            <v>0</v>
          </cell>
          <cell r="X15" t="e">
            <v>#REF!</v>
          </cell>
          <cell r="Y15">
            <v>0</v>
          </cell>
          <cell r="Z15" t="e">
            <v>#REF!</v>
          </cell>
        </row>
        <row r="16">
          <cell r="A16" t="e">
            <v>#REF!</v>
          </cell>
          <cell r="B16">
            <v>0</v>
          </cell>
          <cell r="C16">
            <v>0</v>
          </cell>
          <cell r="D16" t="e">
            <v>#REF!</v>
          </cell>
          <cell r="E16">
            <v>0</v>
          </cell>
          <cell r="F16" t="e">
            <v>#REF!</v>
          </cell>
          <cell r="G16">
            <v>0</v>
          </cell>
          <cell r="H16" t="e">
            <v>#REF!</v>
          </cell>
          <cell r="I16">
            <v>0</v>
          </cell>
          <cell r="J16" t="e">
            <v>#REF!</v>
          </cell>
          <cell r="K16">
            <v>0</v>
          </cell>
          <cell r="L16" t="e">
            <v>#REF!</v>
          </cell>
          <cell r="M16">
            <v>0</v>
          </cell>
          <cell r="N16" t="e">
            <v>#REF!</v>
          </cell>
          <cell r="O16">
            <v>0</v>
          </cell>
          <cell r="P16" t="e">
            <v>#REF!</v>
          </cell>
          <cell r="Q16">
            <v>0</v>
          </cell>
          <cell r="R16" t="e">
            <v>#REF!</v>
          </cell>
          <cell r="S16">
            <v>0</v>
          </cell>
          <cell r="T16" t="e">
            <v>#REF!</v>
          </cell>
          <cell r="U16">
            <v>0</v>
          </cell>
          <cell r="V16" t="e">
            <v>#REF!</v>
          </cell>
          <cell r="W16">
            <v>0</v>
          </cell>
          <cell r="X16" t="e">
            <v>#REF!</v>
          </cell>
          <cell r="Y16">
            <v>0</v>
          </cell>
          <cell r="Z16" t="e">
            <v>#REF!</v>
          </cell>
        </row>
        <row r="17">
          <cell r="A17" t="e">
            <v>#REF!</v>
          </cell>
          <cell r="B17">
            <v>0</v>
          </cell>
          <cell r="C17">
            <v>0</v>
          </cell>
          <cell r="D17" t="e">
            <v>#REF!</v>
          </cell>
          <cell r="E17">
            <v>0</v>
          </cell>
          <cell r="F17" t="e">
            <v>#REF!</v>
          </cell>
          <cell r="G17">
            <v>0</v>
          </cell>
          <cell r="H17" t="e">
            <v>#REF!</v>
          </cell>
          <cell r="I17">
            <v>0</v>
          </cell>
          <cell r="J17" t="e">
            <v>#REF!</v>
          </cell>
          <cell r="K17">
            <v>0</v>
          </cell>
          <cell r="L17" t="e">
            <v>#REF!</v>
          </cell>
          <cell r="M17">
            <v>0</v>
          </cell>
          <cell r="N17" t="e">
            <v>#REF!</v>
          </cell>
          <cell r="O17">
            <v>0</v>
          </cell>
          <cell r="P17" t="e">
            <v>#REF!</v>
          </cell>
          <cell r="Q17">
            <v>0</v>
          </cell>
          <cell r="R17" t="e">
            <v>#REF!</v>
          </cell>
          <cell r="S17" t="str">
            <v>*</v>
          </cell>
          <cell r="T17" t="e">
            <v>#REF!</v>
          </cell>
          <cell r="U17">
            <v>0</v>
          </cell>
          <cell r="V17" t="e">
            <v>#REF!</v>
          </cell>
          <cell r="W17">
            <v>0</v>
          </cell>
          <cell r="X17" t="e">
            <v>#REF!</v>
          </cell>
          <cell r="Y17">
            <v>0</v>
          </cell>
          <cell r="Z17" t="e">
            <v>#REF!</v>
          </cell>
        </row>
        <row r="18">
          <cell r="A18" t="e">
            <v>#REF!</v>
          </cell>
          <cell r="B18">
            <v>0</v>
          </cell>
          <cell r="C18">
            <v>0</v>
          </cell>
          <cell r="D18" t="e">
            <v>#REF!</v>
          </cell>
          <cell r="E18">
            <v>0</v>
          </cell>
          <cell r="F18" t="e">
            <v>#REF!</v>
          </cell>
          <cell r="G18">
            <v>0</v>
          </cell>
          <cell r="H18" t="e">
            <v>#REF!</v>
          </cell>
          <cell r="I18">
            <v>0</v>
          </cell>
          <cell r="J18" t="e">
            <v>#REF!</v>
          </cell>
          <cell r="K18">
            <v>0</v>
          </cell>
          <cell r="L18" t="e">
            <v>#REF!</v>
          </cell>
          <cell r="M18">
            <v>0</v>
          </cell>
          <cell r="N18" t="e">
            <v>#REF!</v>
          </cell>
          <cell r="O18">
            <v>0</v>
          </cell>
          <cell r="P18" t="e">
            <v>#REF!</v>
          </cell>
          <cell r="Q18">
            <v>0</v>
          </cell>
          <cell r="R18" t="e">
            <v>#REF!</v>
          </cell>
          <cell r="S18">
            <v>0</v>
          </cell>
          <cell r="T18" t="e">
            <v>#REF!</v>
          </cell>
          <cell r="U18">
            <v>0</v>
          </cell>
          <cell r="V18" t="e">
            <v>#REF!</v>
          </cell>
          <cell r="W18">
            <v>0</v>
          </cell>
          <cell r="X18" t="e">
            <v>#REF!</v>
          </cell>
          <cell r="Y18">
            <v>0</v>
          </cell>
          <cell r="Z18" t="e">
            <v>#REF!</v>
          </cell>
          <cell r="AA18" t="str">
            <v>*</v>
          </cell>
        </row>
        <row r="19">
          <cell r="A19" t="e">
            <v>#REF!</v>
          </cell>
          <cell r="B19">
            <v>0</v>
          </cell>
          <cell r="C19">
            <v>0</v>
          </cell>
          <cell r="D19" t="e">
            <v>#REF!</v>
          </cell>
          <cell r="E19">
            <v>0</v>
          </cell>
          <cell r="F19" t="e">
            <v>#REF!</v>
          </cell>
          <cell r="G19">
            <v>0</v>
          </cell>
          <cell r="H19" t="e">
            <v>#REF!</v>
          </cell>
          <cell r="I19">
            <v>0</v>
          </cell>
          <cell r="J19" t="e">
            <v>#REF!</v>
          </cell>
          <cell r="K19">
            <v>0</v>
          </cell>
          <cell r="L19" t="e">
            <v>#REF!</v>
          </cell>
          <cell r="M19" t="str">
            <v>*</v>
          </cell>
          <cell r="N19" t="e">
            <v>#REF!</v>
          </cell>
          <cell r="O19">
            <v>0</v>
          </cell>
          <cell r="P19" t="e">
            <v>#REF!</v>
          </cell>
          <cell r="Q19">
            <v>0</v>
          </cell>
          <cell r="R19" t="e">
            <v>#REF!</v>
          </cell>
          <cell r="S19" t="str">
            <v>*</v>
          </cell>
          <cell r="T19" t="e">
            <v>#REF!</v>
          </cell>
          <cell r="U19">
            <v>0</v>
          </cell>
          <cell r="V19" t="e">
            <v>#REF!</v>
          </cell>
          <cell r="W19" t="str">
            <v>*</v>
          </cell>
          <cell r="X19" t="e">
            <v>#REF!</v>
          </cell>
          <cell r="Y19">
            <v>0</v>
          </cell>
          <cell r="Z19" t="e">
            <v>#REF!</v>
          </cell>
          <cell r="AA19" t="str">
            <v>*</v>
          </cell>
        </row>
        <row r="20">
          <cell r="A20" t="e">
            <v>#REF!</v>
          </cell>
          <cell r="B20">
            <v>0</v>
          </cell>
          <cell r="C20">
            <v>0</v>
          </cell>
          <cell r="D20" t="e">
            <v>#REF!</v>
          </cell>
          <cell r="E20">
            <v>0</v>
          </cell>
          <cell r="F20" t="e">
            <v>#REF!</v>
          </cell>
          <cell r="G20">
            <v>0</v>
          </cell>
          <cell r="H20" t="e">
            <v>#REF!</v>
          </cell>
          <cell r="I20">
            <v>0</v>
          </cell>
          <cell r="J20" t="e">
            <v>#REF!</v>
          </cell>
          <cell r="K20">
            <v>0</v>
          </cell>
          <cell r="L20" t="e">
            <v>#REF!</v>
          </cell>
          <cell r="M20">
            <v>0</v>
          </cell>
          <cell r="N20" t="e">
            <v>#REF!</v>
          </cell>
          <cell r="O20">
            <v>0</v>
          </cell>
          <cell r="P20" t="e">
            <v>#REF!</v>
          </cell>
          <cell r="Q20">
            <v>0</v>
          </cell>
          <cell r="R20" t="e">
            <v>#REF!</v>
          </cell>
          <cell r="S20">
            <v>0</v>
          </cell>
          <cell r="T20" t="e">
            <v>#REF!</v>
          </cell>
          <cell r="U20">
            <v>0</v>
          </cell>
          <cell r="V20" t="e">
            <v>#REF!</v>
          </cell>
          <cell r="W20">
            <v>0</v>
          </cell>
          <cell r="X20" t="e">
            <v>#REF!</v>
          </cell>
          <cell r="Y20">
            <v>0</v>
          </cell>
          <cell r="Z20" t="e">
            <v>#REF!</v>
          </cell>
        </row>
        <row r="21">
          <cell r="A21" t="e">
            <v>#REF!</v>
          </cell>
          <cell r="B21">
            <v>0</v>
          </cell>
          <cell r="C21">
            <v>0</v>
          </cell>
          <cell r="D21" t="e">
            <v>#REF!</v>
          </cell>
          <cell r="E21">
            <v>0</v>
          </cell>
          <cell r="F21" t="e">
            <v>#REF!</v>
          </cell>
          <cell r="G21">
            <v>0</v>
          </cell>
          <cell r="H21" t="e">
            <v>#REF!</v>
          </cell>
          <cell r="I21">
            <v>0</v>
          </cell>
          <cell r="J21" t="e">
            <v>#REF!</v>
          </cell>
          <cell r="K21">
            <v>0</v>
          </cell>
          <cell r="L21" t="e">
            <v>#REF!</v>
          </cell>
          <cell r="M21">
            <v>0</v>
          </cell>
          <cell r="N21" t="e">
            <v>#REF!</v>
          </cell>
          <cell r="O21">
            <v>0</v>
          </cell>
          <cell r="P21" t="e">
            <v>#REF!</v>
          </cell>
          <cell r="Q21">
            <v>0</v>
          </cell>
          <cell r="R21" t="e">
            <v>#REF!</v>
          </cell>
          <cell r="S21">
            <v>0</v>
          </cell>
          <cell r="T21" t="e">
            <v>#REF!</v>
          </cell>
          <cell r="U21">
            <v>0</v>
          </cell>
          <cell r="V21" t="e">
            <v>#REF!</v>
          </cell>
          <cell r="W21">
            <v>0</v>
          </cell>
          <cell r="X21" t="e">
            <v>#REF!</v>
          </cell>
          <cell r="Y21">
            <v>0</v>
          </cell>
          <cell r="Z21" t="e">
            <v>#REF!</v>
          </cell>
        </row>
        <row r="22">
          <cell r="A22" t="e">
            <v>#REF!</v>
          </cell>
          <cell r="B22">
            <v>0</v>
          </cell>
          <cell r="C22">
            <v>0</v>
          </cell>
          <cell r="D22" t="e">
            <v>#REF!</v>
          </cell>
          <cell r="E22">
            <v>0</v>
          </cell>
          <cell r="F22" t="e">
            <v>#REF!</v>
          </cell>
          <cell r="G22">
            <v>0</v>
          </cell>
          <cell r="H22" t="e">
            <v>#REF!</v>
          </cell>
          <cell r="I22">
            <v>0</v>
          </cell>
          <cell r="J22" t="e">
            <v>#REF!</v>
          </cell>
          <cell r="K22">
            <v>0</v>
          </cell>
          <cell r="L22" t="e">
            <v>#REF!</v>
          </cell>
          <cell r="M22">
            <v>0</v>
          </cell>
          <cell r="N22" t="e">
            <v>#REF!</v>
          </cell>
          <cell r="O22">
            <v>0</v>
          </cell>
          <cell r="P22" t="e">
            <v>#REF!</v>
          </cell>
          <cell r="Q22">
            <v>0</v>
          </cell>
          <cell r="R22" t="e">
            <v>#REF!</v>
          </cell>
          <cell r="S22">
            <v>0</v>
          </cell>
          <cell r="T22" t="e">
            <v>#REF!</v>
          </cell>
          <cell r="U22">
            <v>0</v>
          </cell>
          <cell r="V22" t="e">
            <v>#REF!</v>
          </cell>
          <cell r="W22">
            <v>0</v>
          </cell>
          <cell r="X22" t="e">
            <v>#REF!</v>
          </cell>
          <cell r="Y22">
            <v>0</v>
          </cell>
          <cell r="Z22" t="e">
            <v>#REF!</v>
          </cell>
        </row>
        <row r="23">
          <cell r="A23" t="e">
            <v>#REF!</v>
          </cell>
          <cell r="B23">
            <v>0</v>
          </cell>
          <cell r="C23">
            <v>0</v>
          </cell>
          <cell r="D23" t="e">
            <v>#REF!</v>
          </cell>
          <cell r="E23">
            <v>0</v>
          </cell>
          <cell r="F23" t="e">
            <v>#REF!</v>
          </cell>
          <cell r="G23">
            <v>0</v>
          </cell>
          <cell r="H23" t="e">
            <v>#REF!</v>
          </cell>
          <cell r="I23">
            <v>0</v>
          </cell>
          <cell r="J23" t="e">
            <v>#REF!</v>
          </cell>
          <cell r="K23">
            <v>0</v>
          </cell>
          <cell r="L23" t="e">
            <v>#REF!</v>
          </cell>
          <cell r="M23">
            <v>0</v>
          </cell>
          <cell r="N23" t="e">
            <v>#REF!</v>
          </cell>
          <cell r="O23">
            <v>0</v>
          </cell>
          <cell r="P23" t="e">
            <v>#REF!</v>
          </cell>
          <cell r="Q23">
            <v>0</v>
          </cell>
          <cell r="R23" t="e">
            <v>#REF!</v>
          </cell>
          <cell r="S23">
            <v>0</v>
          </cell>
          <cell r="T23" t="e">
            <v>#REF!</v>
          </cell>
          <cell r="U23">
            <v>0</v>
          </cell>
          <cell r="V23" t="e">
            <v>#REF!</v>
          </cell>
          <cell r="W23">
            <v>0</v>
          </cell>
          <cell r="X23" t="e">
            <v>#REF!</v>
          </cell>
          <cell r="Y23">
            <v>0</v>
          </cell>
          <cell r="Z23" t="e">
            <v>#REF!</v>
          </cell>
        </row>
        <row r="27">
          <cell r="H27" t="str">
            <v xml:space="preserve">     Minimum (e)</v>
          </cell>
          <cell r="I27">
            <v>0</v>
          </cell>
          <cell r="J27">
            <v>0</v>
          </cell>
          <cell r="K27">
            <v>0</v>
          </cell>
          <cell r="L27" t="e">
            <v>#REF!</v>
          </cell>
          <cell r="M27">
            <v>0</v>
          </cell>
          <cell r="N27" t="e">
            <v>#REF!</v>
          </cell>
          <cell r="O27">
            <v>0</v>
          </cell>
          <cell r="P27" t="e">
            <v>#REF!</v>
          </cell>
          <cell r="Q27">
            <v>0</v>
          </cell>
          <cell r="R27" t="e">
            <v>#REF!</v>
          </cell>
          <cell r="S27">
            <v>0</v>
          </cell>
          <cell r="T27" t="e">
            <v>#REF!</v>
          </cell>
          <cell r="U27">
            <v>0</v>
          </cell>
          <cell r="V27" t="e">
            <v>#REF!</v>
          </cell>
          <cell r="W27">
            <v>0</v>
          </cell>
          <cell r="X27" t="e">
            <v>#REF!</v>
          </cell>
          <cell r="Y27">
            <v>0</v>
          </cell>
          <cell r="Z27" t="e">
            <v>#REF!</v>
          </cell>
        </row>
        <row r="28">
          <cell r="H28" t="str">
            <v xml:space="preserve">     Mean (e)</v>
          </cell>
          <cell r="I28">
            <v>0</v>
          </cell>
          <cell r="J28">
            <v>0</v>
          </cell>
          <cell r="K28">
            <v>0</v>
          </cell>
          <cell r="L28" t="e">
            <v>#REF!</v>
          </cell>
          <cell r="M28">
            <v>0</v>
          </cell>
          <cell r="N28" t="e">
            <v>#REF!</v>
          </cell>
          <cell r="O28">
            <v>0</v>
          </cell>
          <cell r="P28" t="e">
            <v>#REF!</v>
          </cell>
          <cell r="Q28">
            <v>0</v>
          </cell>
          <cell r="R28" t="e">
            <v>#REF!</v>
          </cell>
          <cell r="S28">
            <v>0</v>
          </cell>
          <cell r="T28" t="e">
            <v>#REF!</v>
          </cell>
          <cell r="U28">
            <v>0</v>
          </cell>
          <cell r="V28" t="e">
            <v>#REF!</v>
          </cell>
          <cell r="W28">
            <v>0</v>
          </cell>
          <cell r="X28" t="e">
            <v>#REF!</v>
          </cell>
          <cell r="Y28">
            <v>0</v>
          </cell>
          <cell r="Z28" t="e">
            <v>#REF!</v>
          </cell>
        </row>
        <row r="29">
          <cell r="H29" t="str">
            <v xml:space="preserve">     Median (e)</v>
          </cell>
          <cell r="I29">
            <v>0</v>
          </cell>
          <cell r="J29">
            <v>0</v>
          </cell>
          <cell r="K29">
            <v>0</v>
          </cell>
          <cell r="L29" t="e">
            <v>#REF!</v>
          </cell>
          <cell r="M29">
            <v>0</v>
          </cell>
          <cell r="N29" t="e">
            <v>#REF!</v>
          </cell>
          <cell r="O29">
            <v>0</v>
          </cell>
          <cell r="P29" t="e">
            <v>#REF!</v>
          </cell>
          <cell r="Q29">
            <v>0</v>
          </cell>
          <cell r="R29" t="e">
            <v>#REF!</v>
          </cell>
          <cell r="S29">
            <v>0</v>
          </cell>
          <cell r="T29" t="e">
            <v>#REF!</v>
          </cell>
          <cell r="U29">
            <v>0</v>
          </cell>
          <cell r="V29" t="e">
            <v>#REF!</v>
          </cell>
          <cell r="W29">
            <v>0</v>
          </cell>
          <cell r="X29" t="e">
            <v>#REF!</v>
          </cell>
          <cell r="Y29">
            <v>0</v>
          </cell>
          <cell r="Z29" t="e">
            <v>#REF!</v>
          </cell>
        </row>
        <row r="30">
          <cell r="H30" t="str">
            <v xml:space="preserve">     Maximum (e)</v>
          </cell>
          <cell r="I30">
            <v>0</v>
          </cell>
          <cell r="J30">
            <v>0</v>
          </cell>
          <cell r="K30">
            <v>0</v>
          </cell>
          <cell r="L30" t="e">
            <v>#REF!</v>
          </cell>
          <cell r="M30">
            <v>0</v>
          </cell>
          <cell r="N30" t="e">
            <v>#REF!</v>
          </cell>
          <cell r="O30">
            <v>0</v>
          </cell>
          <cell r="P30" t="e">
            <v>#REF!</v>
          </cell>
          <cell r="Q30">
            <v>0</v>
          </cell>
          <cell r="R30" t="e">
            <v>#REF!</v>
          </cell>
          <cell r="S30">
            <v>0</v>
          </cell>
          <cell r="T30" t="e">
            <v>#REF!</v>
          </cell>
          <cell r="U30">
            <v>0</v>
          </cell>
          <cell r="V30" t="e">
            <v>#REF!</v>
          </cell>
          <cell r="W30">
            <v>0</v>
          </cell>
          <cell r="X30" t="e">
            <v>#REF!</v>
          </cell>
          <cell r="Y30">
            <v>0</v>
          </cell>
          <cell r="Z30" t="e">
            <v>#REF!</v>
          </cell>
        </row>
        <row r="41">
          <cell r="A41" t="str">
            <v>Dollar amounts in U.S. millions except per share data and if otherwise stated.</v>
          </cell>
        </row>
        <row r="42">
          <cell r="A42" t="str">
            <v>(a)</v>
          </cell>
          <cell r="B42" t="str">
            <v>Market Capitalization = Market Value of Equity + Pref. Equity + Short-Term Debt + Long-Term Debt + Minority Interest - Cash &amp; Marketable Securities</v>
          </cell>
        </row>
        <row r="43">
          <cell r="A43" t="str">
            <v>(b)</v>
          </cell>
          <cell r="B43" t="str">
            <v>Adjusted Market Capitalization = Market Value of Equity + Pref. Equity + Short-Term Debt + Long-Term Debt + Minority Interest + Net Pension Liabilities + Net OPEBs - Cash &amp; Marketable Securities</v>
          </cell>
        </row>
        <row r="44">
          <cell r="A44" t="str">
            <v>(c)</v>
          </cell>
          <cell r="B44" t="str">
            <v>Earnings Estimates were obtained from First Call as of Sep-13-99 and calendarized when necessary.</v>
          </cell>
        </row>
        <row r="45">
          <cell r="A45" t="str">
            <v>(d)</v>
          </cell>
          <cell r="B45" t="str">
            <v>Cash Flow = Income Available to Common + DD&amp;A + Deferred Taxes + Earnings of Unconsolidated Subs.</v>
          </cell>
        </row>
        <row r="46">
          <cell r="A46" t="str">
            <v>(e)</v>
          </cell>
          <cell r="B46" t="str">
            <v>Summary Multiples exclude numbers that are Negative, Not Available, Not Meaningful and (*) items.</v>
          </cell>
        </row>
        <row r="47">
          <cell r="A47" t="str">
            <v>(f)</v>
          </cell>
          <cell r="B47" t="str">
            <v>EBITDAPO = Earnings Before Interest, Taxes, Depreciation, Amortization, Pension and OPEB Expenses</v>
          </cell>
        </row>
        <row r="107">
          <cell r="G107" t="str">
            <v>Credit Ratings</v>
          </cell>
          <cell r="H107">
            <v>0</v>
          </cell>
          <cell r="I107">
            <v>0</v>
          </cell>
          <cell r="J107" t="str">
            <v>LTM</v>
          </cell>
          <cell r="K107">
            <v>0</v>
          </cell>
          <cell r="L107" t="str">
            <v>LTM</v>
          </cell>
          <cell r="M107">
            <v>0</v>
          </cell>
          <cell r="N107" t="str">
            <v>(EBITDA -</v>
          </cell>
          <cell r="O107">
            <v>0</v>
          </cell>
          <cell r="P107" t="str">
            <v>Total</v>
          </cell>
          <cell r="Q107">
            <v>0</v>
          </cell>
          <cell r="R107" t="str">
            <v>Net Debt</v>
          </cell>
          <cell r="S107">
            <v>0</v>
          </cell>
          <cell r="T107" t="str">
            <v>Net Debt/</v>
          </cell>
          <cell r="U107">
            <v>0</v>
          </cell>
          <cell r="V107" t="str">
            <v>Total</v>
          </cell>
          <cell r="W107">
            <v>0</v>
          </cell>
          <cell r="X107" t="str">
            <v>FFO/</v>
          </cell>
          <cell r="Y107">
            <v>0</v>
          </cell>
          <cell r="Z107" t="str">
            <v>Free Oper.</v>
          </cell>
        </row>
        <row r="108">
          <cell r="G108" t="str">
            <v>Senior Debt</v>
          </cell>
          <cell r="H108">
            <v>0</v>
          </cell>
          <cell r="I108">
            <v>0</v>
          </cell>
          <cell r="J108" t="str">
            <v>EBITDA/</v>
          </cell>
          <cell r="K108">
            <v>0</v>
          </cell>
          <cell r="L108" t="str">
            <v>EBITDA/</v>
          </cell>
          <cell r="M108">
            <v>0</v>
          </cell>
          <cell r="N108" t="str">
            <v>CAPEX)/</v>
          </cell>
          <cell r="O108">
            <v>0</v>
          </cell>
          <cell r="P108" t="str">
            <v>Debt/</v>
          </cell>
          <cell r="Q108">
            <v>0</v>
          </cell>
          <cell r="R108" t="str">
            <v>Pen + OPEB/</v>
          </cell>
          <cell r="S108">
            <v>0</v>
          </cell>
          <cell r="T108" t="str">
            <v>Net</v>
          </cell>
          <cell r="U108">
            <v>0</v>
          </cell>
          <cell r="V108" t="str">
            <v>Debt/</v>
          </cell>
          <cell r="W108">
            <v>0</v>
          </cell>
          <cell r="X108" t="str">
            <v>Total</v>
          </cell>
          <cell r="Y108">
            <v>0</v>
          </cell>
          <cell r="Z108" t="str">
            <v>Cash Flow/</v>
          </cell>
        </row>
        <row r="109">
          <cell r="A109" t="str">
            <v>Company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 t="str">
            <v>Moody's</v>
          </cell>
          <cell r="G109">
            <v>0</v>
          </cell>
          <cell r="H109" t="str">
            <v>S&amp;P</v>
          </cell>
          <cell r="I109">
            <v>0</v>
          </cell>
          <cell r="J109" t="str">
            <v>Gross Int.</v>
          </cell>
          <cell r="K109">
            <v>0</v>
          </cell>
          <cell r="L109" t="str">
            <v>Net Int.</v>
          </cell>
          <cell r="M109">
            <v>0</v>
          </cell>
          <cell r="N109" t="str">
            <v>Gross Int.</v>
          </cell>
          <cell r="O109">
            <v>0</v>
          </cell>
          <cell r="P109" t="str">
            <v>Tot Bk Cap</v>
          </cell>
          <cell r="Q109">
            <v>0</v>
          </cell>
          <cell r="R109" t="str">
            <v>Net Bk Cap</v>
          </cell>
          <cell r="S109">
            <v>0</v>
          </cell>
          <cell r="T109" t="str">
            <v>Book Cap</v>
          </cell>
          <cell r="U109">
            <v>0</v>
          </cell>
          <cell r="V109" t="str">
            <v>EBITDA</v>
          </cell>
          <cell r="W109">
            <v>0</v>
          </cell>
          <cell r="X109" t="str">
            <v>Debt</v>
          </cell>
          <cell r="Y109">
            <v>0</v>
          </cell>
          <cell r="Z109" t="str">
            <v xml:space="preserve"> Debt</v>
          </cell>
        </row>
        <row r="112">
          <cell r="A112" t="str">
            <v>Company Name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 t="str">
            <v>Ba1</v>
          </cell>
          <cell r="G112">
            <v>0</v>
          </cell>
          <cell r="H112" t="str">
            <v>BB-</v>
          </cell>
          <cell r="I112">
            <v>0</v>
          </cell>
          <cell r="J112" t="e">
            <v>#REF!</v>
          </cell>
          <cell r="K112">
            <v>0</v>
          </cell>
          <cell r="L112" t="e">
            <v>#REF!</v>
          </cell>
          <cell r="M112">
            <v>0</v>
          </cell>
          <cell r="N112" t="e">
            <v>#REF!</v>
          </cell>
          <cell r="O112">
            <v>0</v>
          </cell>
          <cell r="P112" t="e">
            <v>#REF!</v>
          </cell>
          <cell r="Q112">
            <v>0</v>
          </cell>
          <cell r="R112" t="e">
            <v>#REF!</v>
          </cell>
          <cell r="S112">
            <v>0</v>
          </cell>
          <cell r="T112" t="e">
            <v>#REF!</v>
          </cell>
          <cell r="U112">
            <v>0</v>
          </cell>
          <cell r="V112" t="e">
            <v>#REF!</v>
          </cell>
          <cell r="W112">
            <v>0</v>
          </cell>
          <cell r="X112" t="e">
            <v>#REF!</v>
          </cell>
          <cell r="Y112">
            <v>0</v>
          </cell>
          <cell r="Z112" t="e">
            <v>#REF!</v>
          </cell>
        </row>
        <row r="113">
          <cell r="A113" t="e">
            <v>#REF!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 t="str">
            <v>B1</v>
          </cell>
          <cell r="G113">
            <v>0</v>
          </cell>
          <cell r="H113" t="str">
            <v>B</v>
          </cell>
          <cell r="I113">
            <v>0</v>
          </cell>
          <cell r="J113" t="e">
            <v>#REF!</v>
          </cell>
          <cell r="K113">
            <v>0</v>
          </cell>
          <cell r="L113" t="e">
            <v>#REF!</v>
          </cell>
          <cell r="M113">
            <v>0</v>
          </cell>
          <cell r="N113" t="e">
            <v>#REF!</v>
          </cell>
          <cell r="O113">
            <v>0</v>
          </cell>
          <cell r="P113" t="e">
            <v>#REF!</v>
          </cell>
          <cell r="Q113">
            <v>0</v>
          </cell>
          <cell r="R113" t="e">
            <v>#REF!</v>
          </cell>
          <cell r="S113">
            <v>0</v>
          </cell>
          <cell r="T113" t="e">
            <v>#REF!</v>
          </cell>
          <cell r="U113">
            <v>0</v>
          </cell>
          <cell r="V113" t="e">
            <v>#REF!</v>
          </cell>
          <cell r="W113">
            <v>0</v>
          </cell>
          <cell r="X113" t="e">
            <v>#REF!</v>
          </cell>
          <cell r="Y113">
            <v>0</v>
          </cell>
          <cell r="Z113" t="e">
            <v>#REF!</v>
          </cell>
        </row>
        <row r="114">
          <cell r="A114" t="e">
            <v>#REF!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 t="str">
            <v>Ba2</v>
          </cell>
          <cell r="G114">
            <v>0</v>
          </cell>
          <cell r="H114" t="str">
            <v>BB-</v>
          </cell>
          <cell r="I114">
            <v>0</v>
          </cell>
          <cell r="J114" t="e">
            <v>#REF!</v>
          </cell>
          <cell r="K114">
            <v>0</v>
          </cell>
          <cell r="L114" t="e">
            <v>#REF!</v>
          </cell>
          <cell r="M114">
            <v>0</v>
          </cell>
          <cell r="N114" t="e">
            <v>#REF!</v>
          </cell>
          <cell r="O114">
            <v>0</v>
          </cell>
          <cell r="P114" t="e">
            <v>#REF!</v>
          </cell>
          <cell r="Q114">
            <v>0</v>
          </cell>
          <cell r="R114" t="e">
            <v>#REF!</v>
          </cell>
          <cell r="S114">
            <v>0</v>
          </cell>
          <cell r="T114" t="e">
            <v>#REF!</v>
          </cell>
          <cell r="U114">
            <v>0</v>
          </cell>
          <cell r="V114" t="e">
            <v>#REF!</v>
          </cell>
          <cell r="W114">
            <v>0</v>
          </cell>
          <cell r="X114" t="e">
            <v>#REF!</v>
          </cell>
          <cell r="Y114">
            <v>0</v>
          </cell>
          <cell r="Z114" t="e">
            <v>#REF!</v>
          </cell>
        </row>
        <row r="115">
          <cell r="A115" t="e">
            <v>#REF!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 t="str">
            <v>-</v>
          </cell>
          <cell r="G115">
            <v>0</v>
          </cell>
          <cell r="H115" t="str">
            <v>-</v>
          </cell>
          <cell r="I115">
            <v>0</v>
          </cell>
          <cell r="J115" t="e">
            <v>#REF!</v>
          </cell>
          <cell r="K115">
            <v>0</v>
          </cell>
          <cell r="L115" t="e">
            <v>#REF!</v>
          </cell>
          <cell r="M115">
            <v>0</v>
          </cell>
          <cell r="N115" t="e">
            <v>#REF!</v>
          </cell>
          <cell r="O115">
            <v>0</v>
          </cell>
          <cell r="P115" t="e">
            <v>#REF!</v>
          </cell>
          <cell r="Q115">
            <v>0</v>
          </cell>
          <cell r="R115" t="e">
            <v>#REF!</v>
          </cell>
          <cell r="S115">
            <v>0</v>
          </cell>
          <cell r="T115" t="e">
            <v>#REF!</v>
          </cell>
          <cell r="U115">
            <v>0</v>
          </cell>
          <cell r="V115" t="e">
            <v>#REF!</v>
          </cell>
          <cell r="W115">
            <v>0</v>
          </cell>
          <cell r="X115" t="e">
            <v>#REF!</v>
          </cell>
          <cell r="Y115">
            <v>0</v>
          </cell>
          <cell r="Z115" t="e">
            <v>#REF!</v>
          </cell>
        </row>
        <row r="116">
          <cell r="A116" t="e">
            <v>#REF!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 t="str">
            <v>Ba1</v>
          </cell>
          <cell r="G116">
            <v>0</v>
          </cell>
          <cell r="H116" t="str">
            <v>BB-</v>
          </cell>
          <cell r="I116">
            <v>0</v>
          </cell>
          <cell r="J116" t="e">
            <v>#REF!</v>
          </cell>
          <cell r="K116">
            <v>0</v>
          </cell>
          <cell r="L116" t="e">
            <v>#REF!</v>
          </cell>
          <cell r="M116">
            <v>0</v>
          </cell>
          <cell r="N116" t="e">
            <v>#REF!</v>
          </cell>
          <cell r="O116">
            <v>0</v>
          </cell>
          <cell r="P116" t="e">
            <v>#REF!</v>
          </cell>
          <cell r="Q116">
            <v>0</v>
          </cell>
          <cell r="R116" t="e">
            <v>#REF!</v>
          </cell>
          <cell r="S116">
            <v>0</v>
          </cell>
          <cell r="T116" t="e">
            <v>#REF!</v>
          </cell>
          <cell r="U116">
            <v>0</v>
          </cell>
          <cell r="V116" t="e">
            <v>#REF!</v>
          </cell>
          <cell r="W116">
            <v>0</v>
          </cell>
          <cell r="X116" t="e">
            <v>#REF!</v>
          </cell>
          <cell r="Y116">
            <v>0</v>
          </cell>
          <cell r="Z116" t="e">
            <v>#REF!</v>
          </cell>
        </row>
        <row r="117">
          <cell r="A117" t="e">
            <v>#REF!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 t="str">
            <v>Ba3</v>
          </cell>
          <cell r="G117">
            <v>0</v>
          </cell>
          <cell r="H117" t="str">
            <v>B+</v>
          </cell>
          <cell r="I117">
            <v>0</v>
          </cell>
          <cell r="J117" t="e">
            <v>#REF!</v>
          </cell>
          <cell r="K117">
            <v>0</v>
          </cell>
          <cell r="L117" t="e">
            <v>#REF!</v>
          </cell>
          <cell r="M117">
            <v>0</v>
          </cell>
          <cell r="N117" t="e">
            <v>#REF!</v>
          </cell>
          <cell r="O117">
            <v>0</v>
          </cell>
          <cell r="P117" t="e">
            <v>#REF!</v>
          </cell>
          <cell r="Q117">
            <v>0</v>
          </cell>
          <cell r="R117" t="e">
            <v>#REF!</v>
          </cell>
          <cell r="S117">
            <v>0</v>
          </cell>
          <cell r="T117" t="e">
            <v>#REF!</v>
          </cell>
          <cell r="U117">
            <v>0</v>
          </cell>
          <cell r="V117" t="e">
            <v>#REF!</v>
          </cell>
          <cell r="W117">
            <v>0</v>
          </cell>
          <cell r="X117" t="e">
            <v>#REF!</v>
          </cell>
          <cell r="Y117">
            <v>0</v>
          </cell>
          <cell r="Z117" t="e">
            <v>#REF!</v>
          </cell>
        </row>
        <row r="118">
          <cell r="A118" t="e">
            <v>#REF!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 t="str">
            <v>A1</v>
          </cell>
          <cell r="G118">
            <v>0</v>
          </cell>
          <cell r="H118" t="str">
            <v>AA-</v>
          </cell>
          <cell r="I118">
            <v>0</v>
          </cell>
          <cell r="J118" t="e">
            <v>#REF!</v>
          </cell>
          <cell r="K118">
            <v>0</v>
          </cell>
          <cell r="L118" t="e">
            <v>#REF!</v>
          </cell>
          <cell r="M118">
            <v>0</v>
          </cell>
          <cell r="N118" t="e">
            <v>#REF!</v>
          </cell>
          <cell r="O118">
            <v>0</v>
          </cell>
          <cell r="P118" t="e">
            <v>#REF!</v>
          </cell>
          <cell r="Q118">
            <v>0</v>
          </cell>
          <cell r="R118" t="e">
            <v>#REF!</v>
          </cell>
          <cell r="S118">
            <v>0</v>
          </cell>
          <cell r="T118" t="e">
            <v>#REF!</v>
          </cell>
          <cell r="U118">
            <v>0</v>
          </cell>
          <cell r="V118" t="e">
            <v>#REF!</v>
          </cell>
          <cell r="W118">
            <v>0</v>
          </cell>
          <cell r="X118" t="e">
            <v>#REF!</v>
          </cell>
          <cell r="Y118">
            <v>0</v>
          </cell>
          <cell r="Z118" t="e">
            <v>#REF!</v>
          </cell>
        </row>
        <row r="119">
          <cell r="A119" t="e">
            <v>#REF!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 t="str">
            <v>-</v>
          </cell>
          <cell r="G119">
            <v>0</v>
          </cell>
          <cell r="H119" t="str">
            <v>-</v>
          </cell>
          <cell r="I119">
            <v>0</v>
          </cell>
          <cell r="J119" t="e">
            <v>#REF!</v>
          </cell>
          <cell r="K119">
            <v>0</v>
          </cell>
          <cell r="L119" t="e">
            <v>#REF!</v>
          </cell>
          <cell r="M119">
            <v>0</v>
          </cell>
          <cell r="N119" t="e">
            <v>#REF!</v>
          </cell>
          <cell r="O119">
            <v>0</v>
          </cell>
          <cell r="P119" t="e">
            <v>#REF!</v>
          </cell>
          <cell r="Q119">
            <v>0</v>
          </cell>
          <cell r="R119" t="e">
            <v>#REF!</v>
          </cell>
          <cell r="S119">
            <v>0</v>
          </cell>
          <cell r="T119" t="e">
            <v>#REF!</v>
          </cell>
          <cell r="U119">
            <v>0</v>
          </cell>
          <cell r="V119" t="e">
            <v>#REF!</v>
          </cell>
          <cell r="W119">
            <v>0</v>
          </cell>
          <cell r="X119" t="e">
            <v>#REF!</v>
          </cell>
          <cell r="Y119">
            <v>0</v>
          </cell>
          <cell r="Z119" t="e">
            <v>#REF!</v>
          </cell>
        </row>
        <row r="120">
          <cell r="A120" t="e">
            <v>#REF!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 t="str">
            <v>-</v>
          </cell>
          <cell r="G120">
            <v>0</v>
          </cell>
          <cell r="H120" t="str">
            <v>-</v>
          </cell>
          <cell r="I120">
            <v>0</v>
          </cell>
          <cell r="J120" t="e">
            <v>#REF!</v>
          </cell>
          <cell r="K120">
            <v>0</v>
          </cell>
          <cell r="L120" t="e">
            <v>#REF!</v>
          </cell>
          <cell r="M120">
            <v>0</v>
          </cell>
          <cell r="N120" t="e">
            <v>#REF!</v>
          </cell>
          <cell r="O120">
            <v>0</v>
          </cell>
          <cell r="P120" t="e">
            <v>#REF!</v>
          </cell>
          <cell r="Q120">
            <v>0</v>
          </cell>
          <cell r="R120" t="e">
            <v>#REF!</v>
          </cell>
          <cell r="S120">
            <v>0</v>
          </cell>
          <cell r="T120" t="e">
            <v>#REF!</v>
          </cell>
          <cell r="U120">
            <v>0</v>
          </cell>
          <cell r="V120" t="e">
            <v>#REF!</v>
          </cell>
          <cell r="W120">
            <v>0</v>
          </cell>
          <cell r="X120" t="e">
            <v>#REF!</v>
          </cell>
          <cell r="Y120">
            <v>0</v>
          </cell>
          <cell r="Z120" t="e">
            <v>#REF!</v>
          </cell>
        </row>
        <row r="121">
          <cell r="A121" t="e">
            <v>#REF!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 t="str">
            <v>-</v>
          </cell>
          <cell r="G121">
            <v>0</v>
          </cell>
          <cell r="H121" t="str">
            <v>-</v>
          </cell>
          <cell r="I121">
            <v>0</v>
          </cell>
          <cell r="J121" t="e">
            <v>#REF!</v>
          </cell>
          <cell r="K121">
            <v>0</v>
          </cell>
          <cell r="L121" t="e">
            <v>#REF!</v>
          </cell>
          <cell r="M121">
            <v>0</v>
          </cell>
          <cell r="N121" t="e">
            <v>#REF!</v>
          </cell>
          <cell r="O121">
            <v>0</v>
          </cell>
          <cell r="P121" t="e">
            <v>#REF!</v>
          </cell>
          <cell r="Q121">
            <v>0</v>
          </cell>
          <cell r="R121" t="e">
            <v>#REF!</v>
          </cell>
          <cell r="S121">
            <v>0</v>
          </cell>
          <cell r="T121" t="e">
            <v>#REF!</v>
          </cell>
          <cell r="U121">
            <v>0</v>
          </cell>
          <cell r="V121" t="e">
            <v>#REF!</v>
          </cell>
          <cell r="W121">
            <v>0</v>
          </cell>
          <cell r="X121" t="e">
            <v>#REF!</v>
          </cell>
          <cell r="Y121">
            <v>0</v>
          </cell>
          <cell r="Z121" t="e">
            <v>#REF!</v>
          </cell>
        </row>
        <row r="122">
          <cell r="A122" t="e">
            <v>#REF!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 t="str">
            <v>Baa2</v>
          </cell>
          <cell r="G122">
            <v>0</v>
          </cell>
          <cell r="H122" t="str">
            <v>BBB-</v>
          </cell>
          <cell r="I122">
            <v>0</v>
          </cell>
          <cell r="J122" t="e">
            <v>#REF!</v>
          </cell>
          <cell r="K122">
            <v>0</v>
          </cell>
          <cell r="L122" t="e">
            <v>#REF!</v>
          </cell>
          <cell r="M122">
            <v>0</v>
          </cell>
          <cell r="N122" t="e">
            <v>#REF!</v>
          </cell>
          <cell r="O122">
            <v>0</v>
          </cell>
          <cell r="P122" t="e">
            <v>#REF!</v>
          </cell>
          <cell r="Q122">
            <v>0</v>
          </cell>
          <cell r="R122" t="e">
            <v>#REF!</v>
          </cell>
          <cell r="S122">
            <v>0</v>
          </cell>
          <cell r="T122" t="e">
            <v>#REF!</v>
          </cell>
          <cell r="U122">
            <v>0</v>
          </cell>
          <cell r="V122" t="e">
            <v>#REF!</v>
          </cell>
          <cell r="W122">
            <v>0</v>
          </cell>
          <cell r="X122" t="e">
            <v>#REF!</v>
          </cell>
          <cell r="Y122">
            <v>0</v>
          </cell>
          <cell r="Z122" t="e">
            <v>#REF!</v>
          </cell>
        </row>
        <row r="123">
          <cell r="A123" t="e">
            <v>#REF!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 t="str">
            <v>B2</v>
          </cell>
          <cell r="G123">
            <v>0</v>
          </cell>
          <cell r="H123" t="str">
            <v>B</v>
          </cell>
          <cell r="I123">
            <v>0</v>
          </cell>
          <cell r="J123" t="e">
            <v>#REF!</v>
          </cell>
          <cell r="K123">
            <v>0</v>
          </cell>
          <cell r="L123" t="e">
            <v>#REF!</v>
          </cell>
          <cell r="M123">
            <v>0</v>
          </cell>
          <cell r="N123" t="e">
            <v>#REF!</v>
          </cell>
          <cell r="O123">
            <v>0</v>
          </cell>
          <cell r="P123" t="e">
            <v>#REF!</v>
          </cell>
          <cell r="Q123">
            <v>0</v>
          </cell>
          <cell r="R123" t="e">
            <v>#REF!</v>
          </cell>
          <cell r="S123">
            <v>0</v>
          </cell>
          <cell r="T123" t="e">
            <v>#REF!</v>
          </cell>
          <cell r="U123">
            <v>0</v>
          </cell>
          <cell r="V123" t="e">
            <v>#REF!</v>
          </cell>
          <cell r="W123">
            <v>0</v>
          </cell>
          <cell r="X123" t="e">
            <v>#REF!</v>
          </cell>
          <cell r="Y123">
            <v>0</v>
          </cell>
          <cell r="Z123" t="e">
            <v>#REF!</v>
          </cell>
        </row>
        <row r="124">
          <cell r="A124" t="e">
            <v>#REF!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 t="str">
            <v>B3</v>
          </cell>
          <cell r="G124">
            <v>0</v>
          </cell>
          <cell r="H124" t="str">
            <v>B</v>
          </cell>
          <cell r="I124">
            <v>0</v>
          </cell>
          <cell r="J124" t="e">
            <v>#REF!</v>
          </cell>
          <cell r="K124">
            <v>0</v>
          </cell>
          <cell r="L124" t="e">
            <v>#REF!</v>
          </cell>
          <cell r="M124">
            <v>0</v>
          </cell>
          <cell r="N124" t="e">
            <v>#REF!</v>
          </cell>
          <cell r="O124">
            <v>0</v>
          </cell>
          <cell r="P124" t="e">
            <v>#REF!</v>
          </cell>
          <cell r="Q124">
            <v>0</v>
          </cell>
          <cell r="R124" t="e">
            <v>#REF!</v>
          </cell>
          <cell r="S124">
            <v>0</v>
          </cell>
          <cell r="T124" t="e">
            <v>#REF!</v>
          </cell>
          <cell r="U124">
            <v>0</v>
          </cell>
          <cell r="V124" t="e">
            <v>#REF!</v>
          </cell>
          <cell r="W124">
            <v>0</v>
          </cell>
          <cell r="X124" t="e">
            <v>#REF!</v>
          </cell>
          <cell r="Y124">
            <v>0</v>
          </cell>
          <cell r="Z124" t="e">
            <v>#REF!</v>
          </cell>
        </row>
        <row r="140">
          <cell r="A140" t="str">
            <v>Definitions:</v>
          </cell>
        </row>
        <row r="141">
          <cell r="A141" t="str">
            <v>Gross Interest = Gross Interest incurred before subtracting (i) capitalized interest, (ii) interest income.</v>
          </cell>
        </row>
        <row r="142">
          <cell r="A142" t="str">
            <v>FFO = Funds From Operations = Net income from continuing operations plus depreciation, amortization, deferred income taxes, and other noncash items.</v>
          </cell>
        </row>
        <row r="147">
          <cell r="A147" t="str">
            <v>Analysis of Valuation Multiples of Comparable Flat-Rolled Steel Companies</v>
          </cell>
        </row>
        <row r="148">
          <cell r="A148" t="str">
            <v>Summary Data for Selected Industry Comparables</v>
          </cell>
        </row>
        <row r="155">
          <cell r="F155" t="str">
            <v>LTM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 t="str">
            <v>LTM</v>
          </cell>
          <cell r="S155">
            <v>0</v>
          </cell>
          <cell r="T155" t="str">
            <v>LFQ</v>
          </cell>
        </row>
        <row r="156">
          <cell r="F156" t="str">
            <v>Net to</v>
          </cell>
          <cell r="G156">
            <v>0</v>
          </cell>
          <cell r="H156" t="str">
            <v>1999E</v>
          </cell>
          <cell r="I156">
            <v>0</v>
          </cell>
          <cell r="J156" t="str">
            <v>2000E</v>
          </cell>
          <cell r="K156">
            <v>0</v>
          </cell>
          <cell r="L156" t="str">
            <v>LTM</v>
          </cell>
          <cell r="M156">
            <v>0</v>
          </cell>
          <cell r="N156" t="str">
            <v>LTM</v>
          </cell>
          <cell r="O156">
            <v>0</v>
          </cell>
          <cell r="P156" t="str">
            <v>LTM</v>
          </cell>
          <cell r="Q156">
            <v>0</v>
          </cell>
          <cell r="R156" t="str">
            <v>Cash</v>
          </cell>
          <cell r="S156">
            <v>0</v>
          </cell>
          <cell r="T156" t="str">
            <v>Common</v>
          </cell>
          <cell r="U156">
            <v>0</v>
          </cell>
          <cell r="V156">
            <v>0</v>
          </cell>
          <cell r="W156">
            <v>0</v>
          </cell>
          <cell r="X156" t="str">
            <v>LTM</v>
          </cell>
        </row>
        <row r="157">
          <cell r="A157" t="str">
            <v>Company</v>
          </cell>
          <cell r="B157">
            <v>0</v>
          </cell>
          <cell r="C157">
            <v>0</v>
          </cell>
          <cell r="D157" t="str">
            <v>Shares</v>
          </cell>
          <cell r="E157">
            <v>0</v>
          </cell>
          <cell r="F157" t="str">
            <v>Common</v>
          </cell>
          <cell r="G157">
            <v>0</v>
          </cell>
          <cell r="H157" t="str">
            <v>EPS (a)</v>
          </cell>
          <cell r="I157">
            <v>0</v>
          </cell>
          <cell r="J157" t="str">
            <v>EPS (a)</v>
          </cell>
          <cell r="K157">
            <v>0</v>
          </cell>
          <cell r="L157" t="str">
            <v>Sales</v>
          </cell>
          <cell r="M157">
            <v>0</v>
          </cell>
          <cell r="N157" t="str">
            <v>EBITDA</v>
          </cell>
          <cell r="O157">
            <v>0</v>
          </cell>
          <cell r="P157" t="str">
            <v>EBIT</v>
          </cell>
          <cell r="Q157">
            <v>0</v>
          </cell>
          <cell r="R157" t="str">
            <v>Flow (b)</v>
          </cell>
          <cell r="S157">
            <v>0</v>
          </cell>
          <cell r="T157" t="str">
            <v>Equity</v>
          </cell>
          <cell r="U157">
            <v>0</v>
          </cell>
          <cell r="V157" t="str">
            <v>FYE</v>
          </cell>
          <cell r="W157">
            <v>0</v>
          </cell>
          <cell r="X157" t="str">
            <v>ENDED</v>
          </cell>
        </row>
        <row r="160">
          <cell r="A160" t="str">
            <v>Company Name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 t="e">
            <v>#REF!</v>
          </cell>
          <cell r="G160">
            <v>0</v>
          </cell>
          <cell r="H160" t="e">
            <v>#NAME?</v>
          </cell>
          <cell r="I160">
            <v>0</v>
          </cell>
          <cell r="J160" t="e">
            <v>#NAME?</v>
          </cell>
          <cell r="K160">
            <v>0</v>
          </cell>
          <cell r="L160">
            <v>2508.1999999999998</v>
          </cell>
          <cell r="M160">
            <v>0</v>
          </cell>
          <cell r="N160" t="e">
            <v>#REF!</v>
          </cell>
          <cell r="O160">
            <v>0</v>
          </cell>
          <cell r="P160" t="e">
            <v>#REF!</v>
          </cell>
          <cell r="Q160">
            <v>0</v>
          </cell>
          <cell r="R160" t="e">
            <v>#REF!</v>
          </cell>
          <cell r="S160">
            <v>0</v>
          </cell>
          <cell r="T160">
            <v>0</v>
          </cell>
          <cell r="U160">
            <v>0</v>
          </cell>
          <cell r="V160">
            <v>36160</v>
          </cell>
          <cell r="W160">
            <v>0</v>
          </cell>
          <cell r="X160">
            <v>36341</v>
          </cell>
        </row>
        <row r="161">
          <cell r="A161" t="e">
            <v>#REF!</v>
          </cell>
          <cell r="B161">
            <v>0</v>
          </cell>
          <cell r="C161">
            <v>0</v>
          </cell>
          <cell r="D161" t="e">
            <v>#REF!</v>
          </cell>
          <cell r="E161">
            <v>0</v>
          </cell>
          <cell r="F161" t="e">
            <v>#REF!</v>
          </cell>
          <cell r="G161">
            <v>0</v>
          </cell>
          <cell r="H161" t="e">
            <v>#REF!</v>
          </cell>
          <cell r="I161">
            <v>0</v>
          </cell>
          <cell r="J161" t="e">
            <v>#REF!</v>
          </cell>
          <cell r="K161">
            <v>0</v>
          </cell>
          <cell r="L161" t="e">
            <v>#REF!</v>
          </cell>
          <cell r="M161">
            <v>0</v>
          </cell>
          <cell r="N161" t="e">
            <v>#REF!</v>
          </cell>
          <cell r="O161">
            <v>0</v>
          </cell>
          <cell r="P161" t="e">
            <v>#REF!</v>
          </cell>
          <cell r="Q161">
            <v>0</v>
          </cell>
          <cell r="R161" t="e">
            <v>#REF!</v>
          </cell>
          <cell r="S161">
            <v>0</v>
          </cell>
          <cell r="T161" t="e">
            <v>#REF!</v>
          </cell>
          <cell r="U161">
            <v>0</v>
          </cell>
          <cell r="V161" t="e">
            <v>#REF!</v>
          </cell>
          <cell r="W161">
            <v>0</v>
          </cell>
          <cell r="X161" t="e">
            <v>#REF!</v>
          </cell>
        </row>
        <row r="162">
          <cell r="A162" t="e">
            <v>#REF!</v>
          </cell>
          <cell r="B162">
            <v>0</v>
          </cell>
          <cell r="C162">
            <v>0</v>
          </cell>
          <cell r="D162" t="e">
            <v>#REF!</v>
          </cell>
          <cell r="E162">
            <v>0</v>
          </cell>
          <cell r="F162" t="e">
            <v>#REF!</v>
          </cell>
          <cell r="G162">
            <v>0</v>
          </cell>
          <cell r="H162" t="e">
            <v>#REF!</v>
          </cell>
          <cell r="I162">
            <v>0</v>
          </cell>
          <cell r="J162" t="e">
            <v>#REF!</v>
          </cell>
          <cell r="K162">
            <v>0</v>
          </cell>
          <cell r="L162" t="e">
            <v>#REF!</v>
          </cell>
          <cell r="M162">
            <v>0</v>
          </cell>
          <cell r="N162" t="e">
            <v>#REF!</v>
          </cell>
          <cell r="O162">
            <v>0</v>
          </cell>
          <cell r="P162" t="e">
            <v>#REF!</v>
          </cell>
          <cell r="Q162">
            <v>0</v>
          </cell>
          <cell r="R162" t="e">
            <v>#REF!</v>
          </cell>
          <cell r="S162">
            <v>0</v>
          </cell>
          <cell r="T162" t="e">
            <v>#REF!</v>
          </cell>
          <cell r="U162">
            <v>0</v>
          </cell>
          <cell r="V162" t="e">
            <v>#REF!</v>
          </cell>
          <cell r="W162">
            <v>0</v>
          </cell>
          <cell r="X162" t="e">
            <v>#REF!</v>
          </cell>
        </row>
        <row r="163">
          <cell r="A163" t="e">
            <v>#REF!</v>
          </cell>
          <cell r="B163">
            <v>0</v>
          </cell>
          <cell r="C163">
            <v>0</v>
          </cell>
          <cell r="D163" t="e">
            <v>#REF!</v>
          </cell>
          <cell r="E163">
            <v>0</v>
          </cell>
          <cell r="F163" t="e">
            <v>#REF!</v>
          </cell>
          <cell r="G163">
            <v>0</v>
          </cell>
          <cell r="H163" t="e">
            <v>#REF!</v>
          </cell>
          <cell r="I163">
            <v>0</v>
          </cell>
          <cell r="J163" t="e">
            <v>#REF!</v>
          </cell>
          <cell r="K163">
            <v>0</v>
          </cell>
          <cell r="L163" t="e">
            <v>#REF!</v>
          </cell>
          <cell r="M163">
            <v>0</v>
          </cell>
          <cell r="N163" t="e">
            <v>#REF!</v>
          </cell>
          <cell r="O163">
            <v>0</v>
          </cell>
          <cell r="P163" t="e">
            <v>#REF!</v>
          </cell>
          <cell r="Q163">
            <v>0</v>
          </cell>
          <cell r="R163" t="e">
            <v>#REF!</v>
          </cell>
          <cell r="S163">
            <v>0</v>
          </cell>
          <cell r="T163" t="e">
            <v>#REF!</v>
          </cell>
          <cell r="U163">
            <v>0</v>
          </cell>
          <cell r="V163" t="e">
            <v>#REF!</v>
          </cell>
          <cell r="W163">
            <v>0</v>
          </cell>
          <cell r="X163" t="e">
            <v>#REF!</v>
          </cell>
        </row>
        <row r="164">
          <cell r="A164" t="e">
            <v>#REF!</v>
          </cell>
          <cell r="B164">
            <v>0</v>
          </cell>
          <cell r="C164">
            <v>0</v>
          </cell>
          <cell r="D164" t="e">
            <v>#REF!</v>
          </cell>
          <cell r="E164">
            <v>0</v>
          </cell>
          <cell r="F164" t="e">
            <v>#REF!</v>
          </cell>
          <cell r="G164">
            <v>0</v>
          </cell>
          <cell r="H164" t="e">
            <v>#REF!</v>
          </cell>
          <cell r="I164">
            <v>0</v>
          </cell>
          <cell r="J164" t="e">
            <v>#REF!</v>
          </cell>
          <cell r="K164">
            <v>0</v>
          </cell>
          <cell r="L164" t="e">
            <v>#REF!</v>
          </cell>
          <cell r="M164">
            <v>0</v>
          </cell>
          <cell r="N164" t="e">
            <v>#REF!</v>
          </cell>
          <cell r="O164">
            <v>0</v>
          </cell>
          <cell r="P164" t="e">
            <v>#REF!</v>
          </cell>
          <cell r="Q164">
            <v>0</v>
          </cell>
          <cell r="R164" t="e">
            <v>#REF!</v>
          </cell>
          <cell r="S164">
            <v>0</v>
          </cell>
          <cell r="T164" t="e">
            <v>#REF!</v>
          </cell>
          <cell r="U164">
            <v>0</v>
          </cell>
          <cell r="V164" t="e">
            <v>#REF!</v>
          </cell>
          <cell r="W164">
            <v>0</v>
          </cell>
          <cell r="X164" t="e">
            <v>#REF!</v>
          </cell>
        </row>
        <row r="165">
          <cell r="A165" t="e">
            <v>#REF!</v>
          </cell>
          <cell r="B165">
            <v>0</v>
          </cell>
          <cell r="C165">
            <v>0</v>
          </cell>
          <cell r="D165" t="e">
            <v>#REF!</v>
          </cell>
          <cell r="E165">
            <v>0</v>
          </cell>
          <cell r="F165" t="e">
            <v>#REF!</v>
          </cell>
          <cell r="G165">
            <v>0</v>
          </cell>
          <cell r="H165" t="e">
            <v>#REF!</v>
          </cell>
          <cell r="I165">
            <v>0</v>
          </cell>
          <cell r="J165" t="e">
            <v>#REF!</v>
          </cell>
          <cell r="K165">
            <v>0</v>
          </cell>
          <cell r="L165" t="e">
            <v>#REF!</v>
          </cell>
          <cell r="M165">
            <v>0</v>
          </cell>
          <cell r="N165" t="e">
            <v>#REF!</v>
          </cell>
          <cell r="O165">
            <v>0</v>
          </cell>
          <cell r="P165" t="e">
            <v>#REF!</v>
          </cell>
          <cell r="Q165">
            <v>0</v>
          </cell>
          <cell r="R165" t="e">
            <v>#REF!</v>
          </cell>
          <cell r="S165">
            <v>0</v>
          </cell>
          <cell r="T165" t="e">
            <v>#REF!</v>
          </cell>
          <cell r="U165">
            <v>0</v>
          </cell>
          <cell r="V165" t="e">
            <v>#REF!</v>
          </cell>
          <cell r="W165">
            <v>0</v>
          </cell>
          <cell r="X165" t="e">
            <v>#REF!</v>
          </cell>
        </row>
        <row r="166">
          <cell r="A166" t="e">
            <v>#REF!</v>
          </cell>
          <cell r="B166">
            <v>0</v>
          </cell>
          <cell r="C166">
            <v>0</v>
          </cell>
          <cell r="D166" t="e">
            <v>#REF!</v>
          </cell>
          <cell r="E166">
            <v>0</v>
          </cell>
          <cell r="F166" t="e">
            <v>#REF!</v>
          </cell>
          <cell r="G166">
            <v>0</v>
          </cell>
          <cell r="H166" t="e">
            <v>#REF!</v>
          </cell>
          <cell r="I166">
            <v>0</v>
          </cell>
          <cell r="J166" t="e">
            <v>#REF!</v>
          </cell>
          <cell r="K166">
            <v>0</v>
          </cell>
          <cell r="L166" t="e">
            <v>#REF!</v>
          </cell>
          <cell r="M166">
            <v>0</v>
          </cell>
          <cell r="N166" t="e">
            <v>#REF!</v>
          </cell>
          <cell r="O166">
            <v>0</v>
          </cell>
          <cell r="P166" t="e">
            <v>#REF!</v>
          </cell>
          <cell r="Q166">
            <v>0</v>
          </cell>
          <cell r="R166" t="e">
            <v>#REF!</v>
          </cell>
          <cell r="S166">
            <v>0</v>
          </cell>
          <cell r="T166" t="e">
            <v>#REF!</v>
          </cell>
          <cell r="U166">
            <v>0</v>
          </cell>
          <cell r="V166" t="e">
            <v>#REF!</v>
          </cell>
          <cell r="W166">
            <v>0</v>
          </cell>
          <cell r="X166" t="e">
            <v>#REF!</v>
          </cell>
        </row>
        <row r="167">
          <cell r="A167" t="e">
            <v>#REF!</v>
          </cell>
          <cell r="B167">
            <v>0</v>
          </cell>
          <cell r="C167">
            <v>0</v>
          </cell>
          <cell r="D167" t="e">
            <v>#REF!</v>
          </cell>
          <cell r="E167">
            <v>0</v>
          </cell>
          <cell r="F167" t="e">
            <v>#REF!</v>
          </cell>
          <cell r="G167">
            <v>0</v>
          </cell>
          <cell r="H167" t="e">
            <v>#REF!</v>
          </cell>
          <cell r="I167">
            <v>0</v>
          </cell>
          <cell r="J167" t="e">
            <v>#REF!</v>
          </cell>
          <cell r="K167">
            <v>0</v>
          </cell>
          <cell r="L167" t="e">
            <v>#REF!</v>
          </cell>
          <cell r="M167">
            <v>0</v>
          </cell>
          <cell r="N167" t="e">
            <v>#REF!</v>
          </cell>
          <cell r="O167">
            <v>0</v>
          </cell>
          <cell r="P167" t="e">
            <v>#REF!</v>
          </cell>
          <cell r="Q167">
            <v>0</v>
          </cell>
          <cell r="R167" t="e">
            <v>#REF!</v>
          </cell>
          <cell r="S167">
            <v>0</v>
          </cell>
          <cell r="T167" t="e">
            <v>#REF!</v>
          </cell>
          <cell r="U167">
            <v>0</v>
          </cell>
          <cell r="V167" t="e">
            <v>#REF!</v>
          </cell>
          <cell r="W167">
            <v>0</v>
          </cell>
          <cell r="X167" t="e">
            <v>#REF!</v>
          </cell>
        </row>
        <row r="168">
          <cell r="A168" t="e">
            <v>#REF!</v>
          </cell>
          <cell r="B168">
            <v>0</v>
          </cell>
          <cell r="C168">
            <v>0</v>
          </cell>
          <cell r="D168" t="e">
            <v>#REF!</v>
          </cell>
          <cell r="E168">
            <v>0</v>
          </cell>
          <cell r="F168" t="e">
            <v>#REF!</v>
          </cell>
          <cell r="G168">
            <v>0</v>
          </cell>
          <cell r="H168" t="e">
            <v>#REF!</v>
          </cell>
          <cell r="I168">
            <v>0</v>
          </cell>
          <cell r="J168" t="e">
            <v>#REF!</v>
          </cell>
          <cell r="K168">
            <v>0</v>
          </cell>
          <cell r="L168" t="e">
            <v>#REF!</v>
          </cell>
          <cell r="M168">
            <v>0</v>
          </cell>
          <cell r="N168" t="e">
            <v>#REF!</v>
          </cell>
          <cell r="O168">
            <v>0</v>
          </cell>
          <cell r="P168" t="e">
            <v>#REF!</v>
          </cell>
          <cell r="Q168">
            <v>0</v>
          </cell>
          <cell r="R168" t="e">
            <v>#REF!</v>
          </cell>
          <cell r="S168">
            <v>0</v>
          </cell>
          <cell r="T168" t="e">
            <v>#REF!</v>
          </cell>
          <cell r="U168">
            <v>0</v>
          </cell>
          <cell r="V168" t="e">
            <v>#REF!</v>
          </cell>
          <cell r="W168">
            <v>0</v>
          </cell>
          <cell r="X168" t="e">
            <v>#REF!</v>
          </cell>
        </row>
        <row r="169">
          <cell r="A169" t="e">
            <v>#REF!</v>
          </cell>
          <cell r="B169">
            <v>0</v>
          </cell>
          <cell r="C169">
            <v>0</v>
          </cell>
          <cell r="D169" t="e">
            <v>#REF!</v>
          </cell>
          <cell r="E169">
            <v>0</v>
          </cell>
          <cell r="F169" t="e">
            <v>#REF!</v>
          </cell>
          <cell r="G169">
            <v>0</v>
          </cell>
          <cell r="H169" t="e">
            <v>#REF!</v>
          </cell>
          <cell r="I169">
            <v>0</v>
          </cell>
          <cell r="J169" t="e">
            <v>#REF!</v>
          </cell>
          <cell r="K169">
            <v>0</v>
          </cell>
          <cell r="L169" t="e">
            <v>#REF!</v>
          </cell>
          <cell r="M169">
            <v>0</v>
          </cell>
          <cell r="N169" t="e">
            <v>#REF!</v>
          </cell>
          <cell r="O169">
            <v>0</v>
          </cell>
          <cell r="P169" t="e">
            <v>#REF!</v>
          </cell>
          <cell r="Q169">
            <v>0</v>
          </cell>
          <cell r="R169" t="e">
            <v>#REF!</v>
          </cell>
          <cell r="S169">
            <v>0</v>
          </cell>
          <cell r="T169" t="e">
            <v>#REF!</v>
          </cell>
          <cell r="U169">
            <v>0</v>
          </cell>
          <cell r="V169" t="e">
            <v>#REF!</v>
          </cell>
          <cell r="W169">
            <v>0</v>
          </cell>
          <cell r="X169" t="e">
            <v>#REF!</v>
          </cell>
        </row>
        <row r="170">
          <cell r="A170" t="e">
            <v>#REF!</v>
          </cell>
          <cell r="B170">
            <v>0</v>
          </cell>
          <cell r="C170">
            <v>0</v>
          </cell>
          <cell r="D170" t="e">
            <v>#REF!</v>
          </cell>
          <cell r="E170">
            <v>0</v>
          </cell>
          <cell r="F170" t="e">
            <v>#REF!</v>
          </cell>
          <cell r="G170">
            <v>0</v>
          </cell>
          <cell r="H170" t="e">
            <v>#REF!</v>
          </cell>
          <cell r="I170">
            <v>0</v>
          </cell>
          <cell r="J170" t="e">
            <v>#REF!</v>
          </cell>
          <cell r="K170">
            <v>0</v>
          </cell>
          <cell r="L170" t="e">
            <v>#REF!</v>
          </cell>
          <cell r="M170">
            <v>0</v>
          </cell>
          <cell r="N170" t="e">
            <v>#REF!</v>
          </cell>
          <cell r="O170">
            <v>0</v>
          </cell>
          <cell r="P170" t="e">
            <v>#REF!</v>
          </cell>
          <cell r="Q170">
            <v>0</v>
          </cell>
          <cell r="R170" t="e">
            <v>#REF!</v>
          </cell>
          <cell r="S170">
            <v>0</v>
          </cell>
          <cell r="T170" t="e">
            <v>#REF!</v>
          </cell>
          <cell r="U170">
            <v>0</v>
          </cell>
          <cell r="V170" t="e">
            <v>#REF!</v>
          </cell>
          <cell r="W170">
            <v>0</v>
          </cell>
          <cell r="X170" t="e">
            <v>#REF!</v>
          </cell>
        </row>
        <row r="171">
          <cell r="A171" t="e">
            <v>#REF!</v>
          </cell>
          <cell r="B171">
            <v>0</v>
          </cell>
          <cell r="C171">
            <v>0</v>
          </cell>
          <cell r="D171" t="e">
            <v>#REF!</v>
          </cell>
          <cell r="E171">
            <v>0</v>
          </cell>
          <cell r="F171" t="e">
            <v>#REF!</v>
          </cell>
          <cell r="G171">
            <v>0</v>
          </cell>
          <cell r="H171" t="e">
            <v>#REF!</v>
          </cell>
          <cell r="I171">
            <v>0</v>
          </cell>
          <cell r="J171" t="e">
            <v>#REF!</v>
          </cell>
          <cell r="K171">
            <v>0</v>
          </cell>
          <cell r="L171" t="e">
            <v>#REF!</v>
          </cell>
          <cell r="M171">
            <v>0</v>
          </cell>
          <cell r="N171" t="e">
            <v>#REF!</v>
          </cell>
          <cell r="O171">
            <v>0</v>
          </cell>
          <cell r="P171" t="e">
            <v>#REF!</v>
          </cell>
          <cell r="Q171">
            <v>0</v>
          </cell>
          <cell r="R171" t="e">
            <v>#REF!</v>
          </cell>
          <cell r="S171">
            <v>0</v>
          </cell>
          <cell r="T171" t="e">
            <v>#REF!</v>
          </cell>
          <cell r="U171">
            <v>0</v>
          </cell>
          <cell r="V171" t="e">
            <v>#REF!</v>
          </cell>
          <cell r="W171">
            <v>0</v>
          </cell>
          <cell r="X171" t="e">
            <v>#REF!</v>
          </cell>
        </row>
        <row r="172">
          <cell r="A172" t="e">
            <v>#REF!</v>
          </cell>
          <cell r="B172">
            <v>0</v>
          </cell>
          <cell r="C172">
            <v>0</v>
          </cell>
          <cell r="D172" t="e">
            <v>#REF!</v>
          </cell>
          <cell r="E172">
            <v>0</v>
          </cell>
          <cell r="F172" t="e">
            <v>#REF!</v>
          </cell>
          <cell r="G172">
            <v>0</v>
          </cell>
          <cell r="H172" t="e">
            <v>#REF!</v>
          </cell>
          <cell r="I172">
            <v>0</v>
          </cell>
          <cell r="J172" t="e">
            <v>#REF!</v>
          </cell>
          <cell r="K172">
            <v>0</v>
          </cell>
          <cell r="L172" t="e">
            <v>#REF!</v>
          </cell>
          <cell r="M172">
            <v>0</v>
          </cell>
          <cell r="N172" t="e">
            <v>#REF!</v>
          </cell>
          <cell r="O172">
            <v>0</v>
          </cell>
          <cell r="P172" t="e">
            <v>#REF!</v>
          </cell>
          <cell r="Q172">
            <v>0</v>
          </cell>
          <cell r="R172" t="e">
            <v>#REF!</v>
          </cell>
          <cell r="S172">
            <v>0</v>
          </cell>
          <cell r="T172" t="e">
            <v>#REF!</v>
          </cell>
          <cell r="U172">
            <v>0</v>
          </cell>
          <cell r="V172" t="e">
            <v>#REF!</v>
          </cell>
          <cell r="W172">
            <v>0</v>
          </cell>
          <cell r="X172" t="e">
            <v>#REF!</v>
          </cell>
        </row>
        <row r="190">
          <cell r="A190" t="str">
            <v>Dollar amounts in U.S. millions except per share data and if otherwise stated.</v>
          </cell>
        </row>
        <row r="191">
          <cell r="A191" t="str">
            <v>(b)</v>
          </cell>
          <cell r="B191" t="str">
            <v>Earnings Estimates were obtained from First Call as of Sep-13-99 and calendarized when necessary.</v>
          </cell>
        </row>
        <row r="192">
          <cell r="A192" t="str">
            <v>(c)</v>
          </cell>
          <cell r="B192" t="str">
            <v>Cash Flow = Income Available to Common + DD&amp;A + Deferred Taxes + Earnings of Unconsolidated Subs.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"/>
      <sheetName val="фев"/>
      <sheetName val="2мес"/>
      <sheetName val="март"/>
      <sheetName val="1кв"/>
      <sheetName val="апрель"/>
      <sheetName val="4мес"/>
      <sheetName val="май"/>
      <sheetName val="5мес"/>
      <sheetName val="июнь"/>
      <sheetName val="2кв"/>
      <sheetName val="6мес"/>
      <sheetName val="июль"/>
      <sheetName val="7мес"/>
      <sheetName val="авг"/>
      <sheetName val="8мес"/>
      <sheetName val="сент"/>
      <sheetName val="3кв"/>
      <sheetName val="9мес"/>
      <sheetName val="окт"/>
      <sheetName val="10мес"/>
      <sheetName val="ноябрь"/>
      <sheetName val="11мес"/>
      <sheetName val="дек"/>
      <sheetName val="4кв"/>
      <sheetName val="2полуг"/>
      <sheetName val="ГОД"/>
      <sheetName val="Лист2"/>
      <sheetName val="КСО_рассылк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">
          <cell r="O5">
            <v>23553.046000249989</v>
          </cell>
        </row>
        <row r="39">
          <cell r="O39">
            <v>0.16666666666666666</v>
          </cell>
        </row>
        <row r="44">
          <cell r="O44">
            <v>60.5</v>
          </cell>
        </row>
        <row r="139">
          <cell r="O139">
            <v>12972.967688172042</v>
          </cell>
        </row>
        <row r="141">
          <cell r="O141">
            <v>7224.9666240423394</v>
          </cell>
        </row>
      </sheetData>
      <sheetData sheetId="27" refreshError="1"/>
      <sheetData sheetId="28" refreshError="1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вспом отчетов (Приказ)"/>
      <sheetName val="SDLA0001"/>
      <sheetName val="SDLA0002"/>
      <sheetName val="SDLA0003"/>
      <sheetName val="ПЕРС-4(Ц)"/>
      <sheetName val="DLA0001.1"/>
      <sheetName val="DLA0001.2"/>
      <sheetName val="DLA0001.3"/>
      <sheetName val="DLA0001.4"/>
      <sheetName val="DLA0003"/>
      <sheetName val="DLA0004"/>
      <sheetName val="DLA0004.1"/>
      <sheetName val="DLA0004.2"/>
      <sheetName val="DLA0004.3"/>
      <sheetName val="DLA0004.4"/>
      <sheetName val="DLA0004.5"/>
      <sheetName val="DLA0005"/>
      <sheetName val="DLA0009"/>
      <sheetName val="DLA0010"/>
      <sheetName val="DLA0011"/>
      <sheetName val="DLA0012"/>
      <sheetName val="DLA0017"/>
      <sheetName val="DLA0002.1"/>
      <sheetName val="DLA000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0">
          <cell r="E20">
            <v>10.325587815027081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ornickel.com/files/en/corporate_documents/policies/Biodiversity_Policy.pdf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s://www.nornickel.com/files/en/corporate_documents/policies/Quality_Policy_271117.pdf" TargetMode="External"/><Relationship Id="rId1" Type="http://schemas.openxmlformats.org/officeDocument/2006/relationships/hyperlink" Target="https://www.nornickel.com/files/en/corporate_documents/policies/Environmental_Policy_271117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nornickel.com/files/en/corporate_documents/policies/Renewable_Energy_Sources_Policy.pdf" TargetMode="External"/><Relationship Id="rId4" Type="http://schemas.openxmlformats.org/officeDocument/2006/relationships/hyperlink" Target="https://www.nornickel.com/files/en/corporate_documents/policies/Environmental_Impact_Assessment_Policy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https://www.nornickel.com/files/en/corporate_documents/constituent_documents/Human-Rights_Policy_271117.pdf" TargetMode="External"/><Relationship Id="rId7" Type="http://schemas.openxmlformats.org/officeDocument/2006/relationships/hyperlink" Target="https://www.nornickel.com/upload/iblock/464/Occupational_health_and_safety_policy_eng.pdf" TargetMode="External"/><Relationship Id="rId2" Type="http://schemas.openxmlformats.org/officeDocument/2006/relationships/hyperlink" Target="https://www.nornickel.com/files/en/corporate_documents/constituent_documents/Freedom-of_Association-Policy_271117.pdf" TargetMode="External"/><Relationship Id="rId1" Type="http://schemas.openxmlformats.org/officeDocument/2006/relationships/hyperlink" Target="https://www.nornickel.com/files/en/corporate_documents/constituent_documents/Equal_Opportonities-Programme.pdf" TargetMode="External"/><Relationship Id="rId6" Type="http://schemas.openxmlformats.org/officeDocument/2006/relationships/hyperlink" Target="https://www.nornickel.com/files/en/corporate_documents/constituent_documents/Working-Conditions_Policy-en-new.pdf" TargetMode="External"/><Relationship Id="rId5" Type="http://schemas.openxmlformats.org/officeDocument/2006/relationships/hyperlink" Target="https://www.nornickel.com/files/en/corporate_documents/constituent_documents/Local_Community_Relations-Policy_271117.pdf" TargetMode="External"/><Relationship Id="rId4" Type="http://schemas.openxmlformats.org/officeDocument/2006/relationships/hyperlink" Target="https://www.nornickel.com/files/en/corporate_documents/policies/Indigenous_Rights_Policy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nornickel.com/files/en/corporate_documents/constituent_documents/regulation_on_audit_and_sustainable_development_commitee.pdf" TargetMode="External"/><Relationship Id="rId13" Type="http://schemas.openxmlformats.org/officeDocument/2006/relationships/hyperlink" Target="https://www.nornickel.com/files/en/corporate_documents/policies/Antitrust-Compliance_Policy_201017.pdf" TargetMode="External"/><Relationship Id="rId3" Type="http://schemas.openxmlformats.org/officeDocument/2006/relationships/hyperlink" Target="https://www.nornickel.com/files/en/corporate_documents/constituent_documents/file1264.pdf" TargetMode="External"/><Relationship Id="rId7" Type="http://schemas.openxmlformats.org/officeDocument/2006/relationships/hyperlink" Target="https://www.nornickel.com/files/en/corporate_documents/constituent_documents/file0040.pdf" TargetMode="External"/><Relationship Id="rId12" Type="http://schemas.openxmlformats.org/officeDocument/2006/relationships/hyperlink" Target="https://www.nornickel.com/files/en/corporate_documents/constituent_documents/Anti-Corruption_Policy_of_PJSC_MMC_Norilsk_Nickel.pdf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s://www.nornickel.com/files/en/corporate_documents/constituent_documents/Regulations-AGM-2014(1).pdf" TargetMode="External"/><Relationship Id="rId16" Type="http://schemas.openxmlformats.org/officeDocument/2006/relationships/hyperlink" Target="https://www.nornickel.com/upload/iblock/5ed/Information_Policy.pdf" TargetMode="External"/><Relationship Id="rId1" Type="http://schemas.openxmlformats.org/officeDocument/2006/relationships/hyperlink" Target="https://www.nornickel.com/files/en/corporate_documents/constituent_documents/Annex-ARTICLES-OF-ASSOCIATION.pdf" TargetMode="External"/><Relationship Id="rId6" Type="http://schemas.openxmlformats.org/officeDocument/2006/relationships/hyperlink" Target="https://www.nornickel.com/files/en/corporate_documents/constituent_documents/Board-Performance-Evaluation-Policy.pdf" TargetMode="External"/><Relationship Id="rId11" Type="http://schemas.openxmlformats.org/officeDocument/2006/relationships/hyperlink" Target="https://www.nornickel.com/files/en/corporate_documents/constituent_documents/Dividend%20Policy_NN.pdf" TargetMode="External"/><Relationship Id="rId5" Type="http://schemas.openxmlformats.org/officeDocument/2006/relationships/hyperlink" Target="https://www.nornickel.com/files/en/corporate_documents/constituent_documents/2014.11.10_Induction-and-Continuing-Education-Policy_ENG_Final_Draft.pdf" TargetMode="External"/><Relationship Id="rId15" Type="http://schemas.openxmlformats.org/officeDocument/2006/relationships/hyperlink" Target="https://www.nornickel.com/upload/iblock/195/REMUNERATION_POLICY_for_MEMBERS_OF_BOARD_OF_DIRECTORS_.pdf" TargetMode="External"/><Relationship Id="rId10" Type="http://schemas.openxmlformats.org/officeDocument/2006/relationships/hyperlink" Target="https://www.nornickel.com/files/en/corporate_documents/constituent_documents/file1265.pdf" TargetMode="External"/><Relationship Id="rId4" Type="http://schemas.openxmlformats.org/officeDocument/2006/relationships/hyperlink" Target="https://www.nornickel.com/files/en/corporate_documents/constituent_documents/NN_Code-of-Conduct-and-Ethics---sajt.pdf" TargetMode="External"/><Relationship Id="rId9" Type="http://schemas.openxmlformats.org/officeDocument/2006/relationships/hyperlink" Target="https://www.nornickel.com/files/en/corporate_documents/constituent_documents/CGNandR-Committee-Terms-of-Reference.pdf" TargetMode="External"/><Relationship Id="rId14" Type="http://schemas.openxmlformats.org/officeDocument/2006/relationships/hyperlink" Target="https://www.nornickel.com/upload/iblock/621/business_ethics_co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176C3"/>
  </sheetPr>
  <dimension ref="A1:R38"/>
  <sheetViews>
    <sheetView showGridLines="0" tabSelected="1" zoomScaleNormal="100" zoomScaleSheetLayoutView="70" workbookViewId="0">
      <selection activeCell="R23" sqref="R23"/>
    </sheetView>
  </sheetViews>
  <sheetFormatPr defaultColWidth="9.140625" defaultRowHeight="12.75" x14ac:dyDescent="0.2"/>
  <cols>
    <col min="1" max="1" width="5.42578125" style="19" customWidth="1"/>
    <col min="2" max="2" width="2.42578125" style="26" customWidth="1"/>
    <col min="3" max="3" width="3.85546875" style="26" customWidth="1"/>
    <col min="4" max="4" width="12" style="26" customWidth="1"/>
    <col min="5" max="5" width="9.140625" style="26"/>
    <col min="6" max="6" width="10.42578125" style="26" customWidth="1"/>
    <col min="7" max="15" width="9.140625" style="26"/>
    <col min="16" max="16" width="9.42578125" style="26" customWidth="1"/>
    <col min="17" max="17" width="2.5703125" style="26" customWidth="1"/>
    <col min="18" max="18" width="9.140625" style="26"/>
    <col min="19" max="16384" width="9.140625" style="1"/>
  </cols>
  <sheetData>
    <row r="1" spans="2:18" x14ac:dyDescent="0.2">
      <c r="Q1" s="45"/>
    </row>
    <row r="2" spans="2:18" x14ac:dyDescent="0.2">
      <c r="Q2" s="45"/>
      <c r="R2" s="45"/>
    </row>
    <row r="3" spans="2:18" s="19" customFormat="1" x14ac:dyDescent="0.2"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44"/>
    </row>
    <row r="4" spans="2:18" x14ac:dyDescent="0.2">
      <c r="B4" s="38"/>
      <c r="Q4" s="38"/>
    </row>
    <row r="5" spans="2:18" ht="22.5" x14ac:dyDescent="0.3">
      <c r="B5" s="38"/>
      <c r="C5" s="28" t="s">
        <v>112</v>
      </c>
      <c r="D5" s="33"/>
      <c r="Q5" s="38"/>
    </row>
    <row r="6" spans="2:18" x14ac:dyDescent="0.2">
      <c r="B6" s="38"/>
      <c r="Q6" s="38"/>
    </row>
    <row r="7" spans="2:18" x14ac:dyDescent="0.2">
      <c r="B7" s="38"/>
      <c r="Q7" s="38"/>
    </row>
    <row r="8" spans="2:18" x14ac:dyDescent="0.2">
      <c r="B8" s="20"/>
      <c r="C8" s="32"/>
      <c r="Q8" s="38"/>
    </row>
    <row r="9" spans="2:18" ht="15" x14ac:dyDescent="0.2">
      <c r="B9" s="20"/>
      <c r="D9" s="47" t="s">
        <v>126</v>
      </c>
      <c r="Q9" s="38"/>
    </row>
    <row r="10" spans="2:18" ht="15" x14ac:dyDescent="0.2">
      <c r="B10" s="20"/>
      <c r="C10" s="40"/>
      <c r="D10" s="324" t="s">
        <v>116</v>
      </c>
      <c r="E10" s="325"/>
      <c r="F10" s="326"/>
      <c r="G10" s="34"/>
      <c r="J10" s="84" t="s">
        <v>194</v>
      </c>
      <c r="Q10" s="38"/>
    </row>
    <row r="11" spans="2:18" ht="6" customHeight="1" x14ac:dyDescent="0.2">
      <c r="B11" s="20"/>
      <c r="C11" s="41"/>
      <c r="D11" s="35"/>
      <c r="E11" s="35"/>
      <c r="F11" s="35"/>
      <c r="G11" s="34"/>
      <c r="Q11" s="38"/>
    </row>
    <row r="12" spans="2:18" ht="15" x14ac:dyDescent="0.2">
      <c r="B12" s="20"/>
      <c r="C12" s="42"/>
      <c r="D12" s="324" t="s">
        <v>117</v>
      </c>
      <c r="E12" s="325"/>
      <c r="F12" s="326"/>
      <c r="G12" s="34"/>
      <c r="Q12" s="38"/>
    </row>
    <row r="13" spans="2:18" ht="6" customHeight="1" x14ac:dyDescent="0.2">
      <c r="B13" s="20"/>
      <c r="C13" s="41"/>
      <c r="D13" s="36"/>
      <c r="E13" s="37"/>
      <c r="F13" s="37"/>
      <c r="G13" s="34"/>
      <c r="Q13" s="38"/>
    </row>
    <row r="14" spans="2:18" ht="15" x14ac:dyDescent="0.2">
      <c r="B14" s="20"/>
      <c r="C14" s="42"/>
      <c r="D14" s="324" t="s">
        <v>118</v>
      </c>
      <c r="E14" s="325"/>
      <c r="F14" s="326"/>
      <c r="G14" s="34"/>
      <c r="Q14" s="38"/>
    </row>
    <row r="15" spans="2:18" ht="14.25" x14ac:dyDescent="0.2">
      <c r="B15" s="20"/>
      <c r="C15" s="41"/>
      <c r="D15" s="36"/>
      <c r="E15" s="37"/>
      <c r="F15" s="37"/>
      <c r="G15" s="34"/>
      <c r="Q15" s="38"/>
    </row>
    <row r="16" spans="2:18" ht="14.25" x14ac:dyDescent="0.2">
      <c r="B16" s="43"/>
      <c r="C16" s="41"/>
      <c r="D16" s="36"/>
      <c r="E16" s="37"/>
      <c r="F16" s="37"/>
      <c r="G16" s="34"/>
      <c r="Q16" s="38"/>
    </row>
    <row r="17" spans="2:17" x14ac:dyDescent="0.2">
      <c r="B17" s="20"/>
      <c r="Q17" s="38"/>
    </row>
    <row r="18" spans="2:17" x14ac:dyDescent="0.2">
      <c r="B18" s="38"/>
      <c r="Q18" s="38"/>
    </row>
    <row r="19" spans="2:17" ht="15" x14ac:dyDescent="0.2">
      <c r="B19" s="38"/>
      <c r="D19" s="29" t="s">
        <v>113</v>
      </c>
      <c r="Q19" s="38"/>
    </row>
    <row r="20" spans="2:17" ht="19.5" x14ac:dyDescent="0.25">
      <c r="B20" s="38"/>
      <c r="D20" s="30" t="s">
        <v>114</v>
      </c>
      <c r="E20" s="27"/>
      <c r="F20" s="27"/>
      <c r="G20" s="27"/>
      <c r="H20" s="27"/>
      <c r="Q20" s="38"/>
    </row>
    <row r="21" spans="2:17" ht="19.5" x14ac:dyDescent="0.25">
      <c r="B21" s="38"/>
      <c r="D21" s="30" t="s">
        <v>115</v>
      </c>
      <c r="E21" s="27"/>
      <c r="F21" s="27"/>
      <c r="G21" s="27"/>
      <c r="H21" s="27"/>
      <c r="Q21" s="38"/>
    </row>
    <row r="22" spans="2:17" ht="19.5" x14ac:dyDescent="0.25">
      <c r="B22" s="38"/>
      <c r="C22" s="27"/>
      <c r="D22" s="27"/>
      <c r="E22" s="27"/>
      <c r="F22" s="27"/>
      <c r="G22" s="27"/>
      <c r="H22" s="27"/>
      <c r="Q22" s="38"/>
    </row>
    <row r="23" spans="2:17" x14ac:dyDescent="0.2">
      <c r="B23" s="38"/>
      <c r="Q23" s="38"/>
    </row>
    <row r="24" spans="2:17" x14ac:dyDescent="0.2">
      <c r="B24" s="38"/>
      <c r="Q24" s="38"/>
    </row>
    <row r="25" spans="2:17" x14ac:dyDescent="0.2">
      <c r="B25" s="38"/>
      <c r="Q25" s="38"/>
    </row>
    <row r="26" spans="2:17" ht="19.5" x14ac:dyDescent="0.25">
      <c r="B26" s="38"/>
      <c r="C26" s="31"/>
      <c r="D26" s="27"/>
      <c r="E26" s="27"/>
      <c r="F26" s="27"/>
      <c r="G26" s="27"/>
      <c r="H26" s="27"/>
      <c r="Q26" s="38"/>
    </row>
    <row r="27" spans="2:17" x14ac:dyDescent="0.2">
      <c r="B27" s="38"/>
      <c r="Q27" s="38"/>
    </row>
    <row r="28" spans="2:17" x14ac:dyDescent="0.2">
      <c r="B28" s="38"/>
      <c r="Q28" s="38"/>
    </row>
    <row r="29" spans="2:17" x14ac:dyDescent="0.2">
      <c r="B29" s="38"/>
      <c r="Q29" s="38"/>
    </row>
    <row r="30" spans="2:17" x14ac:dyDescent="0.2">
      <c r="B30" s="38"/>
      <c r="Q30" s="38"/>
    </row>
    <row r="31" spans="2:17" x14ac:dyDescent="0.2">
      <c r="B31" s="38"/>
      <c r="Q31" s="38"/>
    </row>
    <row r="32" spans="2:17" x14ac:dyDescent="0.2">
      <c r="B32" s="38"/>
      <c r="Q32" s="38"/>
    </row>
    <row r="33" spans="2:17" x14ac:dyDescent="0.2">
      <c r="B33" s="38"/>
      <c r="Q33" s="38"/>
    </row>
    <row r="34" spans="2:17" x14ac:dyDescent="0.2">
      <c r="B34" s="38"/>
      <c r="Q34" s="38"/>
    </row>
    <row r="35" spans="2:17" x14ac:dyDescent="0.2">
      <c r="B35" s="38"/>
      <c r="Q35" s="38"/>
    </row>
    <row r="36" spans="2:17" x14ac:dyDescent="0.2">
      <c r="B36" s="38"/>
      <c r="Q36" s="38"/>
    </row>
    <row r="37" spans="2:17" x14ac:dyDescent="0.2">
      <c r="B37" s="38"/>
      <c r="Q37" s="38"/>
    </row>
    <row r="38" spans="2:17" x14ac:dyDescent="0.2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</sheetData>
  <mergeCells count="3">
    <mergeCell ref="D12:F12"/>
    <mergeCell ref="D10:F10"/>
    <mergeCell ref="D14:F14"/>
  </mergeCells>
  <hyperlinks>
    <hyperlink ref="D14" location="'Stock charts'!A1" display="STOCK CHARTS"/>
    <hyperlink ref="D10" location="'Summary result '!A1" display="SUMMARY RESULT"/>
    <hyperlink ref="D12" location="'Price performance'!A1" display="PRICE PERFORMANCE"/>
    <hyperlink ref="D10:F10" location="ENVIRONMENT!A1" display="ENVIRONMENT"/>
    <hyperlink ref="D12:F12" location="SOCIAL!A1" display="SOCIAL"/>
    <hyperlink ref="D14:F14" location="GOVERNANCE!A1" display="GOVERNANCE"/>
  </hyperlinks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176C3"/>
  </sheetPr>
  <dimension ref="A1:M167"/>
  <sheetViews>
    <sheetView showGridLines="0" zoomScaleNormal="100" zoomScaleSheetLayoutView="100" workbookViewId="0">
      <pane xSplit="2" ySplit="3" topLeftCell="C109" activePane="bottomRight" state="frozen"/>
      <selection pane="topRight" activeCell="C1" sqref="C1"/>
      <selection pane="bottomLeft" activeCell="A4" sqref="A4"/>
      <selection pane="bottomRight" activeCell="A45" sqref="A45"/>
    </sheetView>
  </sheetViews>
  <sheetFormatPr defaultRowHeight="15" x14ac:dyDescent="0.25"/>
  <cols>
    <col min="1" max="1" width="53.85546875" style="16" customWidth="1"/>
    <col min="2" max="2" width="15.5703125" style="16" bestFit="1" customWidth="1"/>
    <col min="3" max="13" width="8.7109375" style="16" customWidth="1"/>
    <col min="14" max="16384" width="9.140625" style="16"/>
  </cols>
  <sheetData>
    <row r="1" spans="1:13" ht="15.75" customHeight="1" x14ac:dyDescent="0.25">
      <c r="A1" s="337" t="s">
        <v>130</v>
      </c>
      <c r="B1" s="338" t="s">
        <v>15</v>
      </c>
      <c r="C1" s="327">
        <v>2010</v>
      </c>
      <c r="D1" s="327">
        <v>2011</v>
      </c>
      <c r="E1" s="327">
        <v>2012</v>
      </c>
      <c r="F1" s="327">
        <v>2013</v>
      </c>
      <c r="G1" s="327">
        <v>2014</v>
      </c>
      <c r="H1" s="327">
        <v>2015</v>
      </c>
      <c r="I1" s="327">
        <v>2016</v>
      </c>
      <c r="J1" s="327">
        <v>2017</v>
      </c>
      <c r="K1" s="327">
        <v>2018</v>
      </c>
      <c r="L1" s="327">
        <v>2019</v>
      </c>
      <c r="M1" s="327">
        <v>2020</v>
      </c>
    </row>
    <row r="2" spans="1:13" ht="15.75" customHeight="1" x14ac:dyDescent="0.25">
      <c r="A2" s="337"/>
      <c r="B2" s="338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 ht="15.75" customHeight="1" x14ac:dyDescent="0.25">
      <c r="A3" s="337"/>
      <c r="B3" s="338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</row>
    <row r="4" spans="1:13" ht="5.25" customHeight="1" x14ac:dyDescent="0.25">
      <c r="A4" s="168"/>
      <c r="B4" s="179"/>
      <c r="C4" s="15"/>
      <c r="D4" s="15"/>
      <c r="E4" s="15"/>
      <c r="F4" s="15"/>
      <c r="G4" s="15"/>
      <c r="H4" s="15"/>
      <c r="I4" s="330"/>
      <c r="J4" s="330"/>
      <c r="K4" s="330"/>
      <c r="L4" s="330"/>
      <c r="M4" s="330"/>
    </row>
    <row r="5" spans="1:13" x14ac:dyDescent="0.25">
      <c r="A5" s="113" t="s">
        <v>5</v>
      </c>
      <c r="B5" s="117"/>
      <c r="C5" s="91"/>
      <c r="D5" s="91"/>
      <c r="E5" s="91"/>
      <c r="F5" s="91"/>
      <c r="G5" s="91"/>
      <c r="H5" s="91"/>
      <c r="I5" s="91"/>
      <c r="J5" s="331"/>
      <c r="K5" s="331"/>
      <c r="L5" s="331"/>
      <c r="M5" s="331"/>
    </row>
    <row r="6" spans="1:13" x14ac:dyDescent="0.25">
      <c r="A6" s="114" t="s">
        <v>242</v>
      </c>
      <c r="B6" s="118"/>
      <c r="C6" s="7"/>
      <c r="D6" s="7"/>
      <c r="E6" s="7"/>
      <c r="F6" s="7"/>
      <c r="G6" s="7"/>
      <c r="H6" s="7"/>
      <c r="I6" s="332"/>
      <c r="J6" s="332"/>
      <c r="K6" s="332"/>
      <c r="L6" s="332"/>
      <c r="M6" s="332"/>
    </row>
    <row r="7" spans="1:13" s="6" customFormat="1" x14ac:dyDescent="0.25">
      <c r="A7" s="275" t="s">
        <v>197</v>
      </c>
      <c r="B7" s="292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200"/>
    </row>
    <row r="8" spans="1:13" s="6" customFormat="1" x14ac:dyDescent="0.25">
      <c r="A8" s="276" t="s">
        <v>200</v>
      </c>
      <c r="B8" s="292" t="s">
        <v>8</v>
      </c>
      <c r="C8" s="201">
        <v>1880.83</v>
      </c>
      <c r="D8" s="201">
        <v>1911.71</v>
      </c>
      <c r="E8" s="201">
        <v>1908.01</v>
      </c>
      <c r="F8" s="201">
        <v>1881.06</v>
      </c>
      <c r="G8" s="201">
        <v>1797.18</v>
      </c>
      <c r="H8" s="201">
        <v>1853.92</v>
      </c>
      <c r="I8" s="201">
        <v>1758.18</v>
      </c>
      <c r="J8" s="201">
        <v>1675.8510000000001</v>
      </c>
      <c r="K8" s="201">
        <v>1764.65</v>
      </c>
      <c r="L8" s="201">
        <v>1798.638854</v>
      </c>
      <c r="M8" s="202">
        <v>1836.88</v>
      </c>
    </row>
    <row r="9" spans="1:13" s="6" customFormat="1" x14ac:dyDescent="0.25">
      <c r="A9" s="276" t="s">
        <v>201</v>
      </c>
      <c r="B9" s="292" t="s">
        <v>8</v>
      </c>
      <c r="C9" s="202">
        <v>1.64</v>
      </c>
      <c r="D9" s="202">
        <v>1.65</v>
      </c>
      <c r="E9" s="202">
        <v>1.43</v>
      </c>
      <c r="F9" s="202">
        <v>1.57</v>
      </c>
      <c r="G9" s="202">
        <v>1.61</v>
      </c>
      <c r="H9" s="202">
        <v>1.64</v>
      </c>
      <c r="I9" s="202">
        <v>1.52</v>
      </c>
      <c r="J9" s="202">
        <v>1.5580000000000001</v>
      </c>
      <c r="K9" s="202">
        <v>0.6</v>
      </c>
      <c r="L9" s="202">
        <v>0.54869600000000007</v>
      </c>
      <c r="M9" s="202">
        <v>0.59596799999999994</v>
      </c>
    </row>
    <row r="10" spans="1:13" s="6" customFormat="1" x14ac:dyDescent="0.25">
      <c r="A10" s="276" t="s">
        <v>202</v>
      </c>
      <c r="B10" s="292" t="s">
        <v>8</v>
      </c>
      <c r="C10" s="202">
        <v>11.03</v>
      </c>
      <c r="D10" s="202">
        <v>10.59</v>
      </c>
      <c r="E10" s="202">
        <v>8.89</v>
      </c>
      <c r="F10" s="202">
        <v>9.98</v>
      </c>
      <c r="G10" s="202">
        <v>9.68</v>
      </c>
      <c r="H10" s="202">
        <v>8.9499999999999993</v>
      </c>
      <c r="I10" s="202">
        <v>6.18</v>
      </c>
      <c r="J10" s="202">
        <v>6.0579999999999998</v>
      </c>
      <c r="K10" s="202">
        <v>5.5460000000000003</v>
      </c>
      <c r="L10" s="202">
        <v>4.2093249999999998</v>
      </c>
      <c r="M10" s="201">
        <v>4.0657245</v>
      </c>
    </row>
    <row r="11" spans="1:13" s="6" customFormat="1" x14ac:dyDescent="0.25">
      <c r="A11" s="276" t="s">
        <v>203</v>
      </c>
      <c r="B11" s="292" t="s">
        <v>8</v>
      </c>
      <c r="C11" s="202">
        <v>21.540000000000035</v>
      </c>
      <c r="D11" s="202">
        <v>22.250000000000011</v>
      </c>
      <c r="E11" s="202">
        <v>20.160000000000018</v>
      </c>
      <c r="F11" s="202">
        <v>19.420000000000027</v>
      </c>
      <c r="G11" s="202">
        <v>19.619999999999855</v>
      </c>
      <c r="H11" s="202">
        <v>18.729999999999936</v>
      </c>
      <c r="I11" s="202">
        <v>21.7</v>
      </c>
      <c r="J11" s="202">
        <v>21.535999999999817</v>
      </c>
      <c r="K11" s="202">
        <v>18.2</v>
      </c>
      <c r="L11" s="202">
        <v>15.779119000000001</v>
      </c>
      <c r="M11" s="201">
        <v>15.968692499999934</v>
      </c>
    </row>
    <row r="12" spans="1:13" s="6" customFormat="1" x14ac:dyDescent="0.25">
      <c r="A12" s="275" t="s">
        <v>7</v>
      </c>
      <c r="B12" s="292"/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</row>
    <row r="13" spans="1:13" s="6" customFormat="1" x14ac:dyDescent="0.25">
      <c r="A13" s="276" t="s">
        <v>200</v>
      </c>
      <c r="B13" s="292" t="s">
        <v>8</v>
      </c>
      <c r="C13" s="202">
        <v>141.94</v>
      </c>
      <c r="D13" s="202">
        <v>134.32</v>
      </c>
      <c r="E13" s="202">
        <v>136.06</v>
      </c>
      <c r="F13" s="202">
        <v>151.58000000000001</v>
      </c>
      <c r="G13" s="202">
        <v>150.19999999999999</v>
      </c>
      <c r="H13" s="202">
        <v>155.05000000000001</v>
      </c>
      <c r="I13" s="202">
        <v>119.72</v>
      </c>
      <c r="J13" s="202">
        <v>109.07</v>
      </c>
      <c r="K13" s="202">
        <v>104.8</v>
      </c>
      <c r="L13" s="202">
        <v>99.363</v>
      </c>
      <c r="M13" s="202">
        <v>73.23</v>
      </c>
    </row>
    <row r="14" spans="1:13" s="6" customFormat="1" x14ac:dyDescent="0.25">
      <c r="A14" s="276" t="s">
        <v>201</v>
      </c>
      <c r="B14" s="292" t="s">
        <v>8</v>
      </c>
      <c r="C14" s="202">
        <v>1.1000000000000001</v>
      </c>
      <c r="D14" s="202">
        <v>1.05</v>
      </c>
      <c r="E14" s="202">
        <v>1.1200000000000001</v>
      </c>
      <c r="F14" s="202">
        <v>1.1499999999999999</v>
      </c>
      <c r="G14" s="202">
        <v>1.1200000000000001</v>
      </c>
      <c r="H14" s="202">
        <v>1.18</v>
      </c>
      <c r="I14" s="202">
        <v>1.1200000000000001</v>
      </c>
      <c r="J14" s="202">
        <v>1.2330000000000001</v>
      </c>
      <c r="K14" s="202">
        <v>1.8</v>
      </c>
      <c r="L14" s="202">
        <v>1.75</v>
      </c>
      <c r="M14" s="202">
        <v>1.6263049999999999</v>
      </c>
    </row>
    <row r="15" spans="1:13" s="6" customFormat="1" x14ac:dyDescent="0.25">
      <c r="A15" s="276" t="s">
        <v>202</v>
      </c>
      <c r="B15" s="292" t="s">
        <v>8</v>
      </c>
      <c r="C15" s="202">
        <v>10.039999999999999</v>
      </c>
      <c r="D15" s="202">
        <v>10.029999999999999</v>
      </c>
      <c r="E15" s="202">
        <v>9.74</v>
      </c>
      <c r="F15" s="202">
        <v>9.98</v>
      </c>
      <c r="G15" s="202">
        <v>11.76</v>
      </c>
      <c r="H15" s="202">
        <v>10.61</v>
      </c>
      <c r="I15" s="202">
        <v>7.38</v>
      </c>
      <c r="J15" s="202">
        <v>6.8730000000000002</v>
      </c>
      <c r="K15" s="202">
        <v>7.6</v>
      </c>
      <c r="L15" s="202">
        <v>6.9829999999999997</v>
      </c>
      <c r="M15" s="202">
        <v>6.1253070000000003</v>
      </c>
    </row>
    <row r="16" spans="1:13" s="6" customFormat="1" x14ac:dyDescent="0.25">
      <c r="A16" s="276" t="s">
        <v>203</v>
      </c>
      <c r="B16" s="292" t="s">
        <v>8</v>
      </c>
      <c r="C16" s="202">
        <v>1.6799999999999944</v>
      </c>
      <c r="D16" s="202">
        <v>1.9700000000000113</v>
      </c>
      <c r="E16" s="202">
        <v>1.660000000000009</v>
      </c>
      <c r="F16" s="202">
        <v>1.9099999999999913</v>
      </c>
      <c r="G16" s="202">
        <v>2.3600000000000083</v>
      </c>
      <c r="H16" s="202">
        <v>2.9499999999999815</v>
      </c>
      <c r="I16" s="202">
        <v>4.6800000000000059</v>
      </c>
      <c r="J16" s="202">
        <v>4.7040000000000015</v>
      </c>
      <c r="K16" s="202">
        <v>3.3</v>
      </c>
      <c r="L16" s="202">
        <v>2.6929799999999999</v>
      </c>
      <c r="M16" s="202">
        <v>2.3919300000000074</v>
      </c>
    </row>
    <row r="17" spans="1:13" s="6" customFormat="1" x14ac:dyDescent="0.25">
      <c r="A17" s="275" t="s">
        <v>198</v>
      </c>
      <c r="B17" s="292"/>
      <c r="C17" s="200"/>
      <c r="D17" s="200"/>
      <c r="E17" s="200"/>
      <c r="F17" s="200"/>
      <c r="G17" s="200"/>
      <c r="H17" s="200"/>
      <c r="I17" s="200"/>
      <c r="J17" s="200"/>
      <c r="K17" s="203"/>
      <c r="L17" s="203"/>
      <c r="M17" s="203"/>
    </row>
    <row r="18" spans="1:13" s="6" customFormat="1" x14ac:dyDescent="0.25">
      <c r="A18" s="276" t="s">
        <v>200</v>
      </c>
      <c r="B18" s="292" t="s">
        <v>8</v>
      </c>
      <c r="C18" s="202">
        <v>9.9999999999965894E-2</v>
      </c>
      <c r="D18" s="202">
        <v>0.12000000000006139</v>
      </c>
      <c r="E18" s="202">
        <v>0.1400000000000432</v>
      </c>
      <c r="F18" s="202">
        <v>0.20999999999995111</v>
      </c>
      <c r="G18" s="202">
        <v>0.19999999999987494</v>
      </c>
      <c r="H18" s="202">
        <v>0.13999999999981583</v>
      </c>
      <c r="I18" s="202">
        <v>6.9999999999964757E-2</v>
      </c>
      <c r="J18" s="202">
        <v>8.6915999999999993E-2</v>
      </c>
      <c r="K18" s="76">
        <v>0.154</v>
      </c>
      <c r="L18" s="76">
        <v>0.135432</v>
      </c>
      <c r="M18" s="204">
        <v>0.65265728099999998</v>
      </c>
    </row>
    <row r="19" spans="1:13" s="6" customFormat="1" x14ac:dyDescent="0.25">
      <c r="A19" s="276" t="s">
        <v>201</v>
      </c>
      <c r="B19" s="292" t="s">
        <v>8</v>
      </c>
      <c r="C19" s="202">
        <v>8.42</v>
      </c>
      <c r="D19" s="202">
        <v>7.13</v>
      </c>
      <c r="E19" s="202">
        <v>6.97</v>
      </c>
      <c r="F19" s="202">
        <v>9.41</v>
      </c>
      <c r="G19" s="202">
        <v>8.8000000000000007</v>
      </c>
      <c r="H19" s="202">
        <v>7.02</v>
      </c>
      <c r="I19" s="202">
        <v>7.4799999999999995</v>
      </c>
      <c r="J19" s="202">
        <v>8.7029999999999994</v>
      </c>
      <c r="K19" s="76">
        <v>8.8460000000000001</v>
      </c>
      <c r="L19" s="76">
        <v>8.0142039999999994</v>
      </c>
      <c r="M19" s="201">
        <v>7.7398651699999981</v>
      </c>
    </row>
    <row r="20" spans="1:13" s="6" customFormat="1" x14ac:dyDescent="0.25">
      <c r="A20" s="276" t="s">
        <v>202</v>
      </c>
      <c r="B20" s="292" t="s">
        <v>8</v>
      </c>
      <c r="C20" s="202">
        <v>0.61000000000000121</v>
      </c>
      <c r="D20" s="202">
        <v>0.54000000000000092</v>
      </c>
      <c r="E20" s="202">
        <v>0.56999999999999851</v>
      </c>
      <c r="F20" s="202">
        <v>0.66999999999999815</v>
      </c>
      <c r="G20" s="202">
        <v>1.6</v>
      </c>
      <c r="H20" s="202">
        <v>1.110000000000003</v>
      </c>
      <c r="I20" s="202">
        <v>0.7400000000000011</v>
      </c>
      <c r="J20" s="202">
        <v>1.08</v>
      </c>
      <c r="K20" s="76">
        <v>1.39</v>
      </c>
      <c r="L20" s="76">
        <v>2.1131480000000002</v>
      </c>
      <c r="M20" s="202">
        <v>4.3602903799999995</v>
      </c>
    </row>
    <row r="21" spans="1:13" s="6" customFormat="1" ht="15.75" thickBot="1" x14ac:dyDescent="0.3">
      <c r="A21" s="277" t="s">
        <v>203</v>
      </c>
      <c r="B21" s="293" t="s">
        <v>8</v>
      </c>
      <c r="C21" s="255">
        <v>9.2000000000001929</v>
      </c>
      <c r="D21" s="255">
        <v>2.3299999999999432</v>
      </c>
      <c r="E21" s="255">
        <v>2.8299999999998686</v>
      </c>
      <c r="F21" s="255">
        <v>10.150000000000217</v>
      </c>
      <c r="G21" s="255">
        <v>4.2</v>
      </c>
      <c r="H21" s="255">
        <v>2.2200000000001587</v>
      </c>
      <c r="I21" s="255">
        <v>7.6800000000001463</v>
      </c>
      <c r="J21" s="255">
        <v>10.046084000000002</v>
      </c>
      <c r="K21" s="256">
        <v>9.7850000000000001</v>
      </c>
      <c r="L21" s="256">
        <v>12.429647999999998</v>
      </c>
      <c r="M21" s="255">
        <v>14.474692009000004</v>
      </c>
    </row>
    <row r="22" spans="1:13" s="6" customFormat="1" ht="15.75" thickTop="1" x14ac:dyDescent="0.25">
      <c r="A22" s="275" t="s">
        <v>199</v>
      </c>
      <c r="B22" s="292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</row>
    <row r="23" spans="1:13" s="6" customFormat="1" x14ac:dyDescent="0.25">
      <c r="A23" s="314" t="s">
        <v>247</v>
      </c>
      <c r="B23" s="294" t="s">
        <v>8</v>
      </c>
      <c r="C23" s="315">
        <v>2022.87</v>
      </c>
      <c r="D23" s="315">
        <v>2046.15</v>
      </c>
      <c r="E23" s="315">
        <v>2044.21</v>
      </c>
      <c r="F23" s="315">
        <v>2032.85</v>
      </c>
      <c r="G23" s="315">
        <v>1947.58</v>
      </c>
      <c r="H23" s="315">
        <v>2009.11</v>
      </c>
      <c r="I23" s="315">
        <v>1877.97</v>
      </c>
      <c r="J23" s="316">
        <v>1785.007916</v>
      </c>
      <c r="K23" s="316">
        <v>1869.604</v>
      </c>
      <c r="L23" s="315">
        <v>1898.1372860000001</v>
      </c>
      <c r="M23" s="317">
        <v>1910.7626572810002</v>
      </c>
    </row>
    <row r="24" spans="1:13" s="6" customFormat="1" x14ac:dyDescent="0.25">
      <c r="A24" s="314" t="s">
        <v>201</v>
      </c>
      <c r="B24" s="294" t="s">
        <v>8</v>
      </c>
      <c r="C24" s="317">
        <v>11.16</v>
      </c>
      <c r="D24" s="317">
        <v>9.83</v>
      </c>
      <c r="E24" s="317">
        <v>9.52</v>
      </c>
      <c r="F24" s="317">
        <v>12.13</v>
      </c>
      <c r="G24" s="317">
        <v>11.530000000000001</v>
      </c>
      <c r="H24" s="317">
        <v>9.84</v>
      </c>
      <c r="I24" s="317">
        <v>10.119999999999999</v>
      </c>
      <c r="J24" s="318">
        <v>11.494</v>
      </c>
      <c r="K24" s="318">
        <v>11.246</v>
      </c>
      <c r="L24" s="315">
        <v>10.312899999999999</v>
      </c>
      <c r="M24" s="317">
        <v>9.9621381699999976</v>
      </c>
    </row>
    <row r="25" spans="1:13" s="6" customFormat="1" x14ac:dyDescent="0.25">
      <c r="A25" s="314" t="s">
        <v>202</v>
      </c>
      <c r="B25" s="294" t="s">
        <v>8</v>
      </c>
      <c r="C25" s="317">
        <v>21.68</v>
      </c>
      <c r="D25" s="317">
        <v>21.16</v>
      </c>
      <c r="E25" s="317">
        <v>19.2</v>
      </c>
      <c r="F25" s="317">
        <v>20.63</v>
      </c>
      <c r="G25" s="317">
        <v>23.1</v>
      </c>
      <c r="H25" s="317">
        <v>20.67</v>
      </c>
      <c r="I25" s="317">
        <v>14.3</v>
      </c>
      <c r="J25" s="318">
        <v>14.011000000000001</v>
      </c>
      <c r="K25" s="318">
        <v>14.536000000000001</v>
      </c>
      <c r="L25" s="315">
        <v>13.305473000000001</v>
      </c>
      <c r="M25" s="317">
        <v>14.55132188</v>
      </c>
    </row>
    <row r="26" spans="1:13" s="6" customFormat="1" x14ac:dyDescent="0.25">
      <c r="A26" s="314" t="s">
        <v>203</v>
      </c>
      <c r="B26" s="294" t="s">
        <v>8</v>
      </c>
      <c r="C26" s="317">
        <v>32.420000000000222</v>
      </c>
      <c r="D26" s="317">
        <v>26.549999999999965</v>
      </c>
      <c r="E26" s="317">
        <v>24.649999999999896</v>
      </c>
      <c r="F26" s="317">
        <v>31.480000000000235</v>
      </c>
      <c r="G26" s="317">
        <v>26.179999999999861</v>
      </c>
      <c r="H26" s="317">
        <v>23.900000000000077</v>
      </c>
      <c r="I26" s="317">
        <v>34.050000000000026</v>
      </c>
      <c r="J26" s="318">
        <v>36.286083999999818</v>
      </c>
      <c r="K26" s="318">
        <v>31.285</v>
      </c>
      <c r="L26" s="315">
        <v>30.901747</v>
      </c>
      <c r="M26" s="315">
        <v>30.901747</v>
      </c>
    </row>
    <row r="27" spans="1:13" x14ac:dyDescent="0.25">
      <c r="A27" s="114" t="s">
        <v>243</v>
      </c>
      <c r="B27" s="177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8"/>
    </row>
    <row r="28" spans="1:13" s="99" customFormat="1" x14ac:dyDescent="0.25">
      <c r="A28" s="276" t="s">
        <v>205</v>
      </c>
      <c r="B28" s="292" t="s">
        <v>204</v>
      </c>
      <c r="C28" s="209" t="s">
        <v>93</v>
      </c>
      <c r="D28" s="209" t="s">
        <v>93</v>
      </c>
      <c r="E28" s="209" t="s">
        <v>93</v>
      </c>
      <c r="F28" s="209" t="s">
        <v>93</v>
      </c>
      <c r="G28" s="209" t="s">
        <v>93</v>
      </c>
      <c r="H28" s="209" t="s">
        <v>93</v>
      </c>
      <c r="I28" s="209" t="s">
        <v>93</v>
      </c>
      <c r="J28" s="210">
        <v>10.199999999999999</v>
      </c>
      <c r="K28" s="211">
        <v>9.6110000000000007</v>
      </c>
      <c r="L28" s="211">
        <f>L29+L30</f>
        <v>9.5020000000000007</v>
      </c>
      <c r="M28" s="211">
        <f>M29+M30</f>
        <v>9.2029999999999994</v>
      </c>
    </row>
    <row r="29" spans="1:13" s="99" customFormat="1" x14ac:dyDescent="0.25">
      <c r="A29" s="279" t="s">
        <v>244</v>
      </c>
      <c r="B29" s="292" t="s">
        <v>204</v>
      </c>
      <c r="C29" s="209" t="s">
        <v>93</v>
      </c>
      <c r="D29" s="209" t="s">
        <v>93</v>
      </c>
      <c r="E29" s="209" t="s">
        <v>93</v>
      </c>
      <c r="F29" s="209" t="s">
        <v>93</v>
      </c>
      <c r="G29" s="209" t="s">
        <v>93</v>
      </c>
      <c r="H29" s="209" t="s">
        <v>93</v>
      </c>
      <c r="I29" s="209" t="s">
        <v>93</v>
      </c>
      <c r="J29" s="209" t="s">
        <v>93</v>
      </c>
      <c r="K29" s="209" t="s">
        <v>93</v>
      </c>
      <c r="L29" s="212">
        <v>8.7010000000000005</v>
      </c>
      <c r="M29" s="212">
        <v>8.4719999999999995</v>
      </c>
    </row>
    <row r="30" spans="1:13" s="99" customFormat="1" x14ac:dyDescent="0.25">
      <c r="A30" s="312" t="s">
        <v>245</v>
      </c>
      <c r="B30" s="313" t="s">
        <v>204</v>
      </c>
      <c r="C30" s="209" t="s">
        <v>93</v>
      </c>
      <c r="D30" s="209" t="s">
        <v>93</v>
      </c>
      <c r="E30" s="209" t="s">
        <v>93</v>
      </c>
      <c r="F30" s="209" t="s">
        <v>93</v>
      </c>
      <c r="G30" s="209" t="s">
        <v>93</v>
      </c>
      <c r="H30" s="209" t="s">
        <v>93</v>
      </c>
      <c r="I30" s="209" t="s">
        <v>93</v>
      </c>
      <c r="J30" s="209" t="s">
        <v>93</v>
      </c>
      <c r="K30" s="209" t="s">
        <v>93</v>
      </c>
      <c r="L30" s="212">
        <v>0.80100000000000005</v>
      </c>
      <c r="M30" s="212">
        <v>0.73099999999999998</v>
      </c>
    </row>
    <row r="31" spans="1:13" s="99" customFormat="1" ht="15.75" thickBot="1" x14ac:dyDescent="0.3">
      <c r="A31" s="277" t="s">
        <v>161</v>
      </c>
      <c r="B31" s="293" t="s">
        <v>204</v>
      </c>
      <c r="C31" s="309" t="s">
        <v>93</v>
      </c>
      <c r="D31" s="309" t="s">
        <v>93</v>
      </c>
      <c r="E31" s="309" t="s">
        <v>93</v>
      </c>
      <c r="F31" s="309" t="s">
        <v>93</v>
      </c>
      <c r="G31" s="309" t="s">
        <v>93</v>
      </c>
      <c r="H31" s="309" t="s">
        <v>93</v>
      </c>
      <c r="I31" s="309" t="s">
        <v>93</v>
      </c>
      <c r="J31" s="310">
        <v>0.1</v>
      </c>
      <c r="K31" s="311">
        <v>0.32700000000000001</v>
      </c>
      <c r="L31" s="311">
        <v>0.45</v>
      </c>
      <c r="M31" s="311">
        <v>0.496</v>
      </c>
    </row>
    <row r="32" spans="1:13" s="208" customFormat="1" ht="15.75" thickTop="1" x14ac:dyDescent="0.25">
      <c r="A32" s="278" t="s">
        <v>248</v>
      </c>
      <c r="B32" s="294" t="s">
        <v>204</v>
      </c>
      <c r="C32" s="205" t="s">
        <v>93</v>
      </c>
      <c r="D32" s="205" t="s">
        <v>93</v>
      </c>
      <c r="E32" s="205" t="s">
        <v>93</v>
      </c>
      <c r="F32" s="205" t="s">
        <v>93</v>
      </c>
      <c r="G32" s="205" t="s">
        <v>93</v>
      </c>
      <c r="H32" s="205" t="s">
        <v>93</v>
      </c>
      <c r="I32" s="205" t="s">
        <v>93</v>
      </c>
      <c r="J32" s="206">
        <f>J28+J31</f>
        <v>10.299999999999999</v>
      </c>
      <c r="K32" s="207">
        <f>K28+K31</f>
        <v>9.9380000000000006</v>
      </c>
      <c r="L32" s="207">
        <f>L28+L31</f>
        <v>9.952</v>
      </c>
      <c r="M32" s="207">
        <f>M28+M31</f>
        <v>9.6989999999999998</v>
      </c>
    </row>
    <row r="33" spans="1:13" s="214" customFormat="1" x14ac:dyDescent="0.25">
      <c r="A33" s="280" t="s">
        <v>246</v>
      </c>
      <c r="B33" s="294" t="s">
        <v>204</v>
      </c>
      <c r="C33" s="213" t="s">
        <v>93</v>
      </c>
      <c r="D33" s="213" t="s">
        <v>93</v>
      </c>
      <c r="E33" s="213" t="s">
        <v>93</v>
      </c>
      <c r="F33" s="213" t="s">
        <v>93</v>
      </c>
      <c r="G33" s="213" t="s">
        <v>93</v>
      </c>
      <c r="H33" s="213" t="s">
        <v>93</v>
      </c>
      <c r="I33" s="213" t="s">
        <v>93</v>
      </c>
      <c r="J33" s="213" t="s">
        <v>93</v>
      </c>
      <c r="K33" s="213" t="s">
        <v>93</v>
      </c>
      <c r="L33" s="207">
        <v>2</v>
      </c>
      <c r="M33" s="207">
        <v>2.6</v>
      </c>
    </row>
    <row r="34" spans="1:13" x14ac:dyDescent="0.25">
      <c r="A34" s="113" t="s">
        <v>6</v>
      </c>
      <c r="B34" s="295"/>
      <c r="C34" s="90"/>
      <c r="D34" s="90"/>
      <c r="E34" s="90"/>
      <c r="F34" s="90"/>
      <c r="G34" s="90"/>
      <c r="H34" s="90"/>
      <c r="I34" s="329"/>
      <c r="J34" s="329"/>
      <c r="K34" s="329"/>
      <c r="L34" s="329"/>
      <c r="M34" s="329"/>
    </row>
    <row r="35" spans="1:13" x14ac:dyDescent="0.25">
      <c r="A35" s="114" t="s">
        <v>207</v>
      </c>
      <c r="B35" s="177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M35" s="328"/>
    </row>
    <row r="36" spans="1:13" s="216" customFormat="1" x14ac:dyDescent="0.25">
      <c r="A36" s="281" t="s">
        <v>162</v>
      </c>
      <c r="B36" s="187" t="s">
        <v>179</v>
      </c>
      <c r="C36" s="215">
        <v>566.9</v>
      </c>
      <c r="D36" s="215">
        <v>564.04999999999995</v>
      </c>
      <c r="E36" s="215">
        <v>563.94000000000005</v>
      </c>
      <c r="F36" s="215">
        <v>564.32000000000005</v>
      </c>
      <c r="G36" s="215">
        <v>567.04</v>
      </c>
      <c r="H36" s="215">
        <v>574.16999999999996</v>
      </c>
      <c r="I36" s="215">
        <v>533.66999999999996</v>
      </c>
      <c r="J36" s="215">
        <v>512.29999999999995</v>
      </c>
      <c r="K36" s="215">
        <v>463.5</v>
      </c>
      <c r="L36" s="215">
        <v>461.2</v>
      </c>
      <c r="M36" s="215">
        <v>471.2</v>
      </c>
    </row>
    <row r="37" spans="1:13" s="216" customFormat="1" x14ac:dyDescent="0.25">
      <c r="A37" s="281" t="s">
        <v>163</v>
      </c>
      <c r="B37" s="187" t="s">
        <v>179</v>
      </c>
      <c r="C37" s="215">
        <v>178.03</v>
      </c>
      <c r="D37" s="215">
        <v>178.11</v>
      </c>
      <c r="E37" s="215">
        <v>178.77</v>
      </c>
      <c r="F37" s="215">
        <v>172.18</v>
      </c>
      <c r="G37" s="215">
        <v>175.38</v>
      </c>
      <c r="H37" s="215">
        <v>171.32</v>
      </c>
      <c r="I37" s="215">
        <v>170.52</v>
      </c>
      <c r="J37" s="215">
        <v>169.6</v>
      </c>
      <c r="K37" s="215">
        <v>171.6</v>
      </c>
      <c r="L37" s="215">
        <v>156.5</v>
      </c>
      <c r="M37" s="215">
        <v>141.4</v>
      </c>
    </row>
    <row r="38" spans="1:13" s="216" customFormat="1" ht="15.75" thickBot="1" x14ac:dyDescent="0.3">
      <c r="A38" s="282" t="s">
        <v>164</v>
      </c>
      <c r="B38" s="296" t="s">
        <v>179</v>
      </c>
      <c r="C38" s="257">
        <v>677.37</v>
      </c>
      <c r="D38" s="257">
        <v>599.33000000000004</v>
      </c>
      <c r="E38" s="257">
        <v>576.79</v>
      </c>
      <c r="F38" s="257">
        <v>611.46</v>
      </c>
      <c r="G38" s="257">
        <v>675.38</v>
      </c>
      <c r="H38" s="257">
        <v>675.92000000000007</v>
      </c>
      <c r="I38" s="257">
        <v>759.62</v>
      </c>
      <c r="J38" s="257">
        <v>660.19999999999993</v>
      </c>
      <c r="K38" s="257">
        <v>777</v>
      </c>
      <c r="L38" s="257">
        <v>725.8</v>
      </c>
      <c r="M38" s="257">
        <v>845.5</v>
      </c>
    </row>
    <row r="39" spans="1:13" s="216" customFormat="1" ht="15.75" thickTop="1" x14ac:dyDescent="0.25">
      <c r="A39" s="275" t="s">
        <v>199</v>
      </c>
      <c r="B39" s="187" t="s">
        <v>179</v>
      </c>
      <c r="C39" s="217">
        <f t="shared" ref="C39:M39" si="0">C36+C37+C38</f>
        <v>1422.3</v>
      </c>
      <c r="D39" s="217">
        <f t="shared" si="0"/>
        <v>1341.49</v>
      </c>
      <c r="E39" s="217">
        <f t="shared" si="0"/>
        <v>1319.5</v>
      </c>
      <c r="F39" s="217">
        <f t="shared" si="0"/>
        <v>1347.96</v>
      </c>
      <c r="G39" s="217">
        <f t="shared" si="0"/>
        <v>1417.8</v>
      </c>
      <c r="H39" s="217">
        <f t="shared" si="0"/>
        <v>1421.41</v>
      </c>
      <c r="I39" s="217">
        <f t="shared" si="0"/>
        <v>1463.81</v>
      </c>
      <c r="J39" s="217">
        <f t="shared" si="0"/>
        <v>1342.1</v>
      </c>
      <c r="K39" s="217">
        <f t="shared" si="0"/>
        <v>1412.1</v>
      </c>
      <c r="L39" s="217">
        <f t="shared" si="0"/>
        <v>1343.5</v>
      </c>
      <c r="M39" s="217">
        <f t="shared" si="0"/>
        <v>1458.1</v>
      </c>
    </row>
    <row r="40" spans="1:13" x14ac:dyDescent="0.25">
      <c r="A40" s="114" t="s">
        <v>43</v>
      </c>
      <c r="B40" s="177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</row>
    <row r="41" spans="1:13" x14ac:dyDescent="0.25">
      <c r="A41" s="281" t="s">
        <v>162</v>
      </c>
      <c r="B41" s="178" t="s">
        <v>0</v>
      </c>
      <c r="C41" s="218">
        <v>0.90721467630975494</v>
      </c>
      <c r="D41" s="218">
        <v>0.90374966758266118</v>
      </c>
      <c r="E41" s="218">
        <v>0.90483030109586116</v>
      </c>
      <c r="F41" s="218">
        <v>0.90142117947263956</v>
      </c>
      <c r="G41" s="218">
        <v>0.90111808690744921</v>
      </c>
      <c r="H41" s="218">
        <v>0.89828796349513218</v>
      </c>
      <c r="I41" s="219">
        <v>0.89427923623212857</v>
      </c>
      <c r="J41" s="219">
        <v>0.89100000000000001</v>
      </c>
      <c r="K41" s="219">
        <v>0.9</v>
      </c>
      <c r="L41" s="219">
        <v>0.90700000000000003</v>
      </c>
      <c r="M41" s="219">
        <v>0.88800000000000001</v>
      </c>
    </row>
    <row r="42" spans="1:13" x14ac:dyDescent="0.25">
      <c r="A42" s="281" t="s">
        <v>163</v>
      </c>
      <c r="B42" s="178" t="s">
        <v>0</v>
      </c>
      <c r="C42" s="218">
        <v>0.88406448351401445</v>
      </c>
      <c r="D42" s="218">
        <v>0.85941272247487499</v>
      </c>
      <c r="E42" s="218">
        <v>0.86228114336857409</v>
      </c>
      <c r="F42" s="218">
        <v>0.87373678708328484</v>
      </c>
      <c r="G42" s="218">
        <v>0.8580225795415668</v>
      </c>
      <c r="H42" s="218">
        <v>0.85611720756479104</v>
      </c>
      <c r="I42" s="218">
        <v>0.88488153882242537</v>
      </c>
      <c r="J42" s="219">
        <v>0.92800000000000005</v>
      </c>
      <c r="K42" s="219">
        <v>0.92</v>
      </c>
      <c r="L42" s="219">
        <v>0.95899999999999996</v>
      </c>
      <c r="M42" s="219">
        <v>0.98880000000000001</v>
      </c>
    </row>
    <row r="43" spans="1:13" ht="15.75" thickBot="1" x14ac:dyDescent="0.3">
      <c r="A43" s="282" t="s">
        <v>164</v>
      </c>
      <c r="B43" s="297" t="s">
        <v>0</v>
      </c>
      <c r="C43" s="259">
        <v>0.81535940475663216</v>
      </c>
      <c r="D43" s="259">
        <v>0.83226269334089698</v>
      </c>
      <c r="E43" s="259">
        <v>0.8093586920716378</v>
      </c>
      <c r="F43" s="259">
        <v>0.95309586890393472</v>
      </c>
      <c r="G43" s="259">
        <v>0.95873434214812403</v>
      </c>
      <c r="H43" s="259">
        <v>0.96654929577464754</v>
      </c>
      <c r="I43" s="260">
        <v>0.82711092388299423</v>
      </c>
      <c r="J43" s="261">
        <v>0.79</v>
      </c>
      <c r="K43" s="261">
        <v>0.81</v>
      </c>
      <c r="L43" s="261">
        <v>0.83</v>
      </c>
      <c r="M43" s="261">
        <v>0.83010053222945013</v>
      </c>
    </row>
    <row r="44" spans="1:13" s="208" customFormat="1" ht="15.75" thickTop="1" x14ac:dyDescent="0.25">
      <c r="A44" s="275" t="s">
        <v>199</v>
      </c>
      <c r="B44" s="298" t="s">
        <v>0</v>
      </c>
      <c r="C44" s="220">
        <v>0.86057090627856292</v>
      </c>
      <c r="D44" s="220">
        <v>0.865925202573258</v>
      </c>
      <c r="E44" s="220">
        <v>0.85733232284956418</v>
      </c>
      <c r="F44" s="220">
        <v>0.92132555862191745</v>
      </c>
      <c r="G44" s="220">
        <v>0.92323317816335171</v>
      </c>
      <c r="H44" s="220">
        <v>0.92566536045194558</v>
      </c>
      <c r="I44" s="221">
        <v>0.85832860822101231</v>
      </c>
      <c r="J44" s="221">
        <v>0.84799999999999998</v>
      </c>
      <c r="K44" s="221">
        <v>0.85699999999999998</v>
      </c>
      <c r="L44" s="222">
        <v>0.87234834387793081</v>
      </c>
      <c r="M44" s="222">
        <v>0.8642754269254509</v>
      </c>
    </row>
    <row r="45" spans="1:13" x14ac:dyDescent="0.25">
      <c r="A45" s="114" t="s">
        <v>208</v>
      </c>
      <c r="B45" s="177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</row>
    <row r="46" spans="1:13" x14ac:dyDescent="0.25">
      <c r="A46" s="281" t="s">
        <v>162</v>
      </c>
      <c r="B46" s="178" t="s">
        <v>179</v>
      </c>
      <c r="C46" s="223">
        <v>79.7</v>
      </c>
      <c r="D46" s="223">
        <v>88.28</v>
      </c>
      <c r="E46" s="223">
        <v>88.77</v>
      </c>
      <c r="F46" s="223">
        <v>86.48</v>
      </c>
      <c r="G46" s="223">
        <v>95.02</v>
      </c>
      <c r="H46" s="224">
        <v>102.49</v>
      </c>
      <c r="I46" s="224">
        <v>96.4</v>
      </c>
      <c r="J46" s="224">
        <v>100.1</v>
      </c>
      <c r="K46" s="223">
        <v>82.8</v>
      </c>
      <c r="L46" s="223">
        <v>69.599999999999994</v>
      </c>
      <c r="M46" s="223">
        <v>78.400000000000006</v>
      </c>
    </row>
    <row r="47" spans="1:13" x14ac:dyDescent="0.25">
      <c r="A47" s="281" t="s">
        <v>163</v>
      </c>
      <c r="B47" s="178" t="s">
        <v>179</v>
      </c>
      <c r="C47" s="223">
        <v>37.92</v>
      </c>
      <c r="D47" s="223">
        <v>36.49</v>
      </c>
      <c r="E47" s="223">
        <v>35.479999999999997</v>
      </c>
      <c r="F47" s="223">
        <v>35.92</v>
      </c>
      <c r="G47" s="223">
        <v>30.16</v>
      </c>
      <c r="H47" s="224">
        <v>27.93</v>
      </c>
      <c r="I47" s="224">
        <v>35.53</v>
      </c>
      <c r="J47" s="224">
        <v>31.7</v>
      </c>
      <c r="K47" s="223">
        <v>32.799999999999997</v>
      </c>
      <c r="L47" s="223">
        <v>28</v>
      </c>
      <c r="M47" s="223">
        <v>38.200000000000003</v>
      </c>
    </row>
    <row r="48" spans="1:13" ht="15.75" thickBot="1" x14ac:dyDescent="0.3">
      <c r="A48" s="282" t="s">
        <v>164</v>
      </c>
      <c r="B48" s="297" t="s">
        <v>179</v>
      </c>
      <c r="C48" s="262">
        <v>220.4</v>
      </c>
      <c r="D48" s="262">
        <v>192.6</v>
      </c>
      <c r="E48" s="262">
        <v>208.2</v>
      </c>
      <c r="F48" s="262">
        <v>230.4</v>
      </c>
      <c r="G48" s="262">
        <v>226.8</v>
      </c>
      <c r="H48" s="263">
        <v>218.1</v>
      </c>
      <c r="I48" s="263">
        <v>196.5</v>
      </c>
      <c r="J48" s="263">
        <v>203.8</v>
      </c>
      <c r="K48" s="263">
        <v>269.5</v>
      </c>
      <c r="L48" s="262">
        <v>240.3</v>
      </c>
      <c r="M48" s="262">
        <v>258.2</v>
      </c>
    </row>
    <row r="49" spans="1:13" ht="15.75" thickTop="1" x14ac:dyDescent="0.25">
      <c r="A49" s="280" t="s">
        <v>209</v>
      </c>
      <c r="B49" s="178" t="s">
        <v>179</v>
      </c>
      <c r="C49" s="225">
        <v>338.2</v>
      </c>
      <c r="D49" s="225">
        <v>317.39999999999998</v>
      </c>
      <c r="E49" s="225">
        <v>332.4</v>
      </c>
      <c r="F49" s="225">
        <v>352.8</v>
      </c>
      <c r="G49" s="225">
        <v>352</v>
      </c>
      <c r="H49" s="225">
        <v>348.5</v>
      </c>
      <c r="I49" s="225">
        <v>328.4</v>
      </c>
      <c r="J49" s="225">
        <v>335.6</v>
      </c>
      <c r="K49" s="225">
        <v>356.8</v>
      </c>
      <c r="L49" s="225">
        <v>319.39999999999998</v>
      </c>
      <c r="M49" s="225">
        <v>374.9</v>
      </c>
    </row>
    <row r="50" spans="1:13" x14ac:dyDescent="0.25">
      <c r="A50" s="114" t="s">
        <v>210</v>
      </c>
      <c r="B50" s="177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</row>
    <row r="51" spans="1:13" s="227" customFormat="1" x14ac:dyDescent="0.25">
      <c r="A51" s="278" t="s">
        <v>212</v>
      </c>
      <c r="B51" s="299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s="6" customFormat="1" x14ac:dyDescent="0.25">
      <c r="A52" s="276" t="s">
        <v>211</v>
      </c>
      <c r="B52" s="187" t="s">
        <v>179</v>
      </c>
      <c r="C52" s="224">
        <v>35.43</v>
      </c>
      <c r="D52" s="224">
        <v>38.93</v>
      </c>
      <c r="E52" s="224">
        <v>39.200000000000003</v>
      </c>
      <c r="F52" s="224">
        <v>33.090000000000003</v>
      </c>
      <c r="G52" s="224">
        <v>36.200000000000003</v>
      </c>
      <c r="H52" s="224">
        <v>39.520000000000003</v>
      </c>
      <c r="I52" s="224">
        <v>38.67</v>
      </c>
      <c r="J52" s="224">
        <v>45.3</v>
      </c>
      <c r="K52" s="224">
        <v>35</v>
      </c>
      <c r="L52" s="224">
        <v>23.7</v>
      </c>
      <c r="M52" s="224">
        <v>33.799999999999997</v>
      </c>
    </row>
    <row r="53" spans="1:13" s="6" customFormat="1" x14ac:dyDescent="0.25">
      <c r="A53" s="279" t="s">
        <v>215</v>
      </c>
      <c r="B53" s="300" t="s">
        <v>180</v>
      </c>
      <c r="C53" s="228">
        <v>0.23</v>
      </c>
      <c r="D53" s="228">
        <v>0.23</v>
      </c>
      <c r="E53" s="228">
        <v>2.21</v>
      </c>
      <c r="F53" s="228">
        <v>2.0599999999999996</v>
      </c>
      <c r="G53" s="228">
        <v>4.83</v>
      </c>
      <c r="H53" s="228">
        <v>5.258</v>
      </c>
      <c r="I53" s="228">
        <v>5.4399999999999995</v>
      </c>
      <c r="J53" s="228">
        <f>0.7+5</f>
        <v>5.7</v>
      </c>
      <c r="K53" s="228">
        <v>2.6</v>
      </c>
      <c r="L53" s="228">
        <v>1.3</v>
      </c>
      <c r="M53" s="229">
        <v>0.4</v>
      </c>
    </row>
    <row r="54" spans="1:13" s="6" customFormat="1" x14ac:dyDescent="0.25">
      <c r="A54" s="276" t="s">
        <v>216</v>
      </c>
      <c r="B54" s="187" t="s">
        <v>8</v>
      </c>
      <c r="C54" s="224">
        <v>57</v>
      </c>
      <c r="D54" s="224">
        <v>47.93</v>
      </c>
      <c r="E54" s="224">
        <v>72.39</v>
      </c>
      <c r="F54" s="224">
        <v>76.930000000000007</v>
      </c>
      <c r="G54" s="224">
        <v>67.47</v>
      </c>
      <c r="H54" s="224">
        <v>76.92</v>
      </c>
      <c r="I54" s="224">
        <v>71.83</v>
      </c>
      <c r="J54" s="224">
        <v>73</v>
      </c>
      <c r="K54" s="224">
        <v>72.7</v>
      </c>
      <c r="L54" s="224">
        <v>58.3</v>
      </c>
      <c r="M54" s="224">
        <v>66.8</v>
      </c>
    </row>
    <row r="55" spans="1:13" s="227" customFormat="1" x14ac:dyDescent="0.25">
      <c r="A55" s="278" t="s">
        <v>213</v>
      </c>
      <c r="B55" s="299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s="6" customFormat="1" x14ac:dyDescent="0.25">
      <c r="A56" s="276" t="s">
        <v>211</v>
      </c>
      <c r="B56" s="187" t="s">
        <v>179</v>
      </c>
      <c r="C56" s="224">
        <v>27.31</v>
      </c>
      <c r="D56" s="224">
        <v>27.41</v>
      </c>
      <c r="E56" s="224">
        <v>26.28</v>
      </c>
      <c r="F56" s="224">
        <v>24.47</v>
      </c>
      <c r="G56" s="224">
        <v>25.44</v>
      </c>
      <c r="H56" s="224">
        <v>23.48</v>
      </c>
      <c r="I56" s="224">
        <v>22.59</v>
      </c>
      <c r="J56" s="224">
        <v>22.3</v>
      </c>
      <c r="K56" s="224">
        <v>25.6</v>
      </c>
      <c r="L56" s="224">
        <v>22.1</v>
      </c>
      <c r="M56" s="224">
        <v>25.8</v>
      </c>
    </row>
    <row r="57" spans="1:13" s="6" customFormat="1" x14ac:dyDescent="0.25">
      <c r="A57" s="279" t="s">
        <v>215</v>
      </c>
      <c r="B57" s="300" t="s">
        <v>180</v>
      </c>
      <c r="C57" s="228">
        <v>0</v>
      </c>
      <c r="D57" s="228">
        <v>0</v>
      </c>
      <c r="E57" s="228">
        <v>0</v>
      </c>
      <c r="F57" s="228">
        <v>0</v>
      </c>
      <c r="G57" s="228">
        <v>0</v>
      </c>
      <c r="H57" s="228">
        <v>0</v>
      </c>
      <c r="I57" s="228">
        <v>0</v>
      </c>
      <c r="J57" s="228">
        <v>0</v>
      </c>
      <c r="K57" s="228">
        <v>0</v>
      </c>
      <c r="L57" s="228">
        <v>0</v>
      </c>
      <c r="M57" s="228">
        <v>0</v>
      </c>
    </row>
    <row r="58" spans="1:13" s="6" customFormat="1" x14ac:dyDescent="0.25">
      <c r="A58" s="276" t="s">
        <v>216</v>
      </c>
      <c r="B58" s="187" t="s">
        <v>8</v>
      </c>
      <c r="C58" s="224">
        <v>64.709999999999994</v>
      </c>
      <c r="D58" s="224">
        <v>70.52</v>
      </c>
      <c r="E58" s="224">
        <v>77.47</v>
      </c>
      <c r="F58" s="224">
        <v>61.8</v>
      </c>
      <c r="G58" s="224">
        <v>72.680000000000007</v>
      </c>
      <c r="H58" s="224">
        <v>75.62</v>
      </c>
      <c r="I58" s="224">
        <v>119.32</v>
      </c>
      <c r="J58" s="224">
        <v>142.9</v>
      </c>
      <c r="K58" s="224">
        <v>148</v>
      </c>
      <c r="L58" s="224">
        <v>124.4</v>
      </c>
      <c r="M58" s="224">
        <v>126.7</v>
      </c>
    </row>
    <row r="59" spans="1:13" s="227" customFormat="1" x14ac:dyDescent="0.25">
      <c r="A59" s="278" t="s">
        <v>214</v>
      </c>
      <c r="B59" s="299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</row>
    <row r="60" spans="1:13" s="6" customFormat="1" x14ac:dyDescent="0.25">
      <c r="A60" s="276" t="s">
        <v>211</v>
      </c>
      <c r="B60" s="187" t="s">
        <v>179</v>
      </c>
      <c r="C60" s="224">
        <v>94.69</v>
      </c>
      <c r="D60" s="224">
        <v>72.66</v>
      </c>
      <c r="E60" s="224">
        <v>81.05</v>
      </c>
      <c r="F60" s="224">
        <v>88.609999999999985</v>
      </c>
      <c r="G60" s="224">
        <v>83.98</v>
      </c>
      <c r="H60" s="224">
        <v>77.449999999999974</v>
      </c>
      <c r="I60" s="224">
        <v>82.29</v>
      </c>
      <c r="J60" s="224">
        <v>80</v>
      </c>
      <c r="K60" s="224">
        <v>103.9</v>
      </c>
      <c r="L60" s="224">
        <v>96.5</v>
      </c>
      <c r="M60" s="224">
        <v>142.69999999999999</v>
      </c>
    </row>
    <row r="61" spans="1:13" s="6" customFormat="1" x14ac:dyDescent="0.25">
      <c r="A61" s="279" t="s">
        <v>215</v>
      </c>
      <c r="B61" s="300" t="s">
        <v>180</v>
      </c>
      <c r="C61" s="228">
        <v>92.97</v>
      </c>
      <c r="D61" s="228">
        <v>71.669999999999987</v>
      </c>
      <c r="E61" s="228">
        <v>80.06</v>
      </c>
      <c r="F61" s="228">
        <v>87.93</v>
      </c>
      <c r="G61" s="228">
        <v>83.55</v>
      </c>
      <c r="H61" s="228">
        <v>77.761999999999986</v>
      </c>
      <c r="I61" s="228">
        <v>81.36</v>
      </c>
      <c r="J61" s="228">
        <v>79.3</v>
      </c>
      <c r="K61" s="228">
        <f>91.9+4.7</f>
        <v>96.600000000000009</v>
      </c>
      <c r="L61" s="228">
        <v>78.900000000000006</v>
      </c>
      <c r="M61" s="228">
        <v>113.9</v>
      </c>
    </row>
    <row r="62" spans="1:13" s="6" customFormat="1" ht="15.75" thickBot="1" x14ac:dyDescent="0.3">
      <c r="A62" s="277" t="s">
        <v>216</v>
      </c>
      <c r="B62" s="296" t="s">
        <v>8</v>
      </c>
      <c r="C62" s="264">
        <v>20.200000000000003</v>
      </c>
      <c r="D62" s="264">
        <v>13.989999999999995</v>
      </c>
      <c r="E62" s="264">
        <v>1.2500000000000142</v>
      </c>
      <c r="F62" s="264">
        <v>0.7</v>
      </c>
      <c r="G62" s="264">
        <v>0.37000000000000455</v>
      </c>
      <c r="H62" s="264">
        <v>0.55999999999998806</v>
      </c>
      <c r="I62" s="264">
        <v>1.8400000000000176</v>
      </c>
      <c r="J62" s="264">
        <v>0.7</v>
      </c>
      <c r="K62" s="264">
        <v>11.7</v>
      </c>
      <c r="L62" s="264">
        <v>27.9</v>
      </c>
      <c r="M62" s="264">
        <v>50.8</v>
      </c>
    </row>
    <row r="63" spans="1:13" s="6" customFormat="1" ht="15.75" thickTop="1" x14ac:dyDescent="0.25">
      <c r="A63" s="275" t="s">
        <v>199</v>
      </c>
      <c r="B63" s="299"/>
      <c r="C63" s="226"/>
      <c r="D63" s="226"/>
      <c r="E63" s="226"/>
      <c r="F63" s="226"/>
      <c r="G63" s="226"/>
      <c r="H63" s="226"/>
      <c r="I63" s="226"/>
      <c r="J63" s="226"/>
      <c r="K63" s="226"/>
      <c r="L63" s="226"/>
      <c r="M63" s="226"/>
    </row>
    <row r="64" spans="1:13" s="6" customFormat="1" x14ac:dyDescent="0.25">
      <c r="A64" s="276" t="s">
        <v>211</v>
      </c>
      <c r="B64" s="187" t="s">
        <v>179</v>
      </c>
      <c r="C64" s="224">
        <f>C52+C56+C60</f>
        <v>157.43</v>
      </c>
      <c r="D64" s="224">
        <f>D52+D56+D60</f>
        <v>139</v>
      </c>
      <c r="E64" s="224">
        <f>E52+E56+E60</f>
        <v>146.53</v>
      </c>
      <c r="F64" s="224">
        <f>F52+F56+F60</f>
        <v>146.16999999999999</v>
      </c>
      <c r="G64" s="224">
        <f>G52+G56+G60</f>
        <v>145.62</v>
      </c>
      <c r="H64" s="224">
        <v>140.4</v>
      </c>
      <c r="I64" s="224">
        <f>I52+I56+I60</f>
        <v>143.55000000000001</v>
      </c>
      <c r="J64" s="224">
        <f>J52+J56+J60</f>
        <v>147.6</v>
      </c>
      <c r="K64" s="224">
        <f>K52+K56+K60</f>
        <v>164.5</v>
      </c>
      <c r="L64" s="224">
        <f>L52+L56+L60</f>
        <v>142.30000000000001</v>
      </c>
      <c r="M64" s="224">
        <v>202.4</v>
      </c>
    </row>
    <row r="65" spans="1:13" s="6" customFormat="1" x14ac:dyDescent="0.25">
      <c r="A65" s="279" t="s">
        <v>215</v>
      </c>
      <c r="B65" s="300" t="s">
        <v>180</v>
      </c>
      <c r="C65" s="228">
        <f>C53+C57+C61</f>
        <v>93.2</v>
      </c>
      <c r="D65" s="228">
        <f>D53+D57+D61</f>
        <v>71.899999999999991</v>
      </c>
      <c r="E65" s="228">
        <f>E53+E57+E61</f>
        <v>82.27</v>
      </c>
      <c r="F65" s="228">
        <f>F53+F57+F61</f>
        <v>89.990000000000009</v>
      </c>
      <c r="G65" s="228">
        <v>88.4</v>
      </c>
      <c r="H65" s="228">
        <f>H53+H57+H61</f>
        <v>83.019999999999982</v>
      </c>
      <c r="I65" s="228">
        <f>I53+I57+I61</f>
        <v>86.8</v>
      </c>
      <c r="J65" s="228">
        <f>J53+J61</f>
        <v>85</v>
      </c>
      <c r="K65" s="228">
        <f>K53+K61</f>
        <v>99.2</v>
      </c>
      <c r="L65" s="228">
        <f>L53+L61</f>
        <v>80.2</v>
      </c>
      <c r="M65" s="228">
        <v>114.3</v>
      </c>
    </row>
    <row r="66" spans="1:13" s="6" customFormat="1" x14ac:dyDescent="0.25">
      <c r="A66" s="276" t="s">
        <v>216</v>
      </c>
      <c r="B66" s="187" t="s">
        <v>8</v>
      </c>
      <c r="C66" s="224">
        <f>C54+C58+C62</f>
        <v>141.91</v>
      </c>
      <c r="D66" s="224">
        <f>D54+D58+D62</f>
        <v>132.44</v>
      </c>
      <c r="E66" s="224">
        <f>E54+E58+E62</f>
        <v>151.11000000000001</v>
      </c>
      <c r="F66" s="224">
        <v>139.4</v>
      </c>
      <c r="G66" s="224">
        <f>G54+G58+G62</f>
        <v>140.52000000000001</v>
      </c>
      <c r="H66" s="224">
        <f>H54+H58+H62</f>
        <v>153.10000000000002</v>
      </c>
      <c r="I66" s="224">
        <f>I54+I58+I62</f>
        <v>192.99</v>
      </c>
      <c r="J66" s="224">
        <f>J54+J58+J62</f>
        <v>216.6</v>
      </c>
      <c r="K66" s="224">
        <f>K54+K58+K62</f>
        <v>232.39999999999998</v>
      </c>
      <c r="L66" s="224">
        <f>L54+L58+L62</f>
        <v>210.6</v>
      </c>
      <c r="M66" s="224">
        <v>244</v>
      </c>
    </row>
    <row r="67" spans="1:13" x14ac:dyDescent="0.25">
      <c r="A67" s="113" t="s">
        <v>44</v>
      </c>
      <c r="B67" s="295"/>
      <c r="C67" s="230"/>
      <c r="D67" s="230"/>
      <c r="E67" s="230"/>
      <c r="F67" s="230"/>
      <c r="G67" s="336"/>
      <c r="H67" s="336"/>
      <c r="I67" s="336"/>
      <c r="J67" s="336"/>
      <c r="K67" s="336"/>
      <c r="L67" s="336"/>
      <c r="M67" s="336"/>
    </row>
    <row r="68" spans="1:13" x14ac:dyDescent="0.25">
      <c r="A68" s="114" t="s">
        <v>217</v>
      </c>
      <c r="B68" s="118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</row>
    <row r="69" spans="1:13" x14ac:dyDescent="0.25">
      <c r="A69" s="281" t="s">
        <v>162</v>
      </c>
      <c r="B69" s="178" t="s">
        <v>10</v>
      </c>
      <c r="C69" s="80">
        <v>35.479999999999997</v>
      </c>
      <c r="D69" s="80">
        <v>31.65</v>
      </c>
      <c r="E69" s="80">
        <v>31.55</v>
      </c>
      <c r="F69" s="80">
        <v>26.39</v>
      </c>
      <c r="G69" s="80">
        <v>23.07</v>
      </c>
      <c r="H69" s="80">
        <v>22.27</v>
      </c>
      <c r="I69" s="80">
        <v>22.57</v>
      </c>
      <c r="J69" s="80">
        <v>23.260856</v>
      </c>
      <c r="K69" s="80">
        <v>15.71</v>
      </c>
      <c r="L69" s="80">
        <v>15.623141923</v>
      </c>
      <c r="M69" s="80">
        <v>14.761199118</v>
      </c>
    </row>
    <row r="70" spans="1:13" x14ac:dyDescent="0.25">
      <c r="A70" s="281" t="s">
        <v>163</v>
      </c>
      <c r="B70" s="178" t="s">
        <v>10</v>
      </c>
      <c r="C70" s="80">
        <v>10.59</v>
      </c>
      <c r="D70" s="80">
        <v>9.25</v>
      </c>
      <c r="E70" s="80">
        <v>11.93</v>
      </c>
      <c r="F70" s="80">
        <v>14.1</v>
      </c>
      <c r="G70" s="80">
        <v>12.1</v>
      </c>
      <c r="H70" s="80">
        <v>11.37</v>
      </c>
      <c r="I70" s="80">
        <v>10.61</v>
      </c>
      <c r="J70" s="80">
        <v>8.61</v>
      </c>
      <c r="K70" s="80">
        <v>8.31</v>
      </c>
      <c r="L70" s="80">
        <v>7.8463377029999997</v>
      </c>
      <c r="M70" s="80">
        <v>8.0702872499999998</v>
      </c>
    </row>
    <row r="71" spans="1:13" ht="15.75" thickBot="1" x14ac:dyDescent="0.3">
      <c r="A71" s="282" t="s">
        <v>164</v>
      </c>
      <c r="B71" s="297" t="s">
        <v>10</v>
      </c>
      <c r="C71" s="265">
        <v>3.000000000000469E-2</v>
      </c>
      <c r="D71" s="265">
        <v>0.04</v>
      </c>
      <c r="E71" s="265">
        <v>0.04</v>
      </c>
      <c r="F71" s="265">
        <v>0</v>
      </c>
      <c r="G71" s="265">
        <v>0</v>
      </c>
      <c r="H71" s="265">
        <v>0</v>
      </c>
      <c r="I71" s="265">
        <v>9.0000000000003411E-2</v>
      </c>
      <c r="J71" s="265">
        <v>2.3565675515999997E-2</v>
      </c>
      <c r="K71" s="265">
        <v>6.6999999999999975</v>
      </c>
      <c r="L71" s="266">
        <v>12.950470862650004</v>
      </c>
      <c r="M71" s="266">
        <v>122.40281217999998</v>
      </c>
    </row>
    <row r="72" spans="1:13" s="208" customFormat="1" ht="15.75" thickTop="1" x14ac:dyDescent="0.25">
      <c r="A72" s="275" t="s">
        <v>199</v>
      </c>
      <c r="B72" s="298" t="s">
        <v>10</v>
      </c>
      <c r="C72" s="231">
        <f t="shared" ref="C72:M72" si="1">C71+C70+C69</f>
        <v>46.1</v>
      </c>
      <c r="D72" s="231">
        <f t="shared" si="1"/>
        <v>40.94</v>
      </c>
      <c r="E72" s="231">
        <f t="shared" si="1"/>
        <v>43.519999999999996</v>
      </c>
      <c r="F72" s="231">
        <f t="shared" si="1"/>
        <v>40.49</v>
      </c>
      <c r="G72" s="231">
        <f t="shared" si="1"/>
        <v>35.17</v>
      </c>
      <c r="H72" s="231">
        <f t="shared" si="1"/>
        <v>33.64</v>
      </c>
      <c r="I72" s="231">
        <f t="shared" si="1"/>
        <v>33.270000000000003</v>
      </c>
      <c r="J72" s="231">
        <f t="shared" si="1"/>
        <v>31.894421675516</v>
      </c>
      <c r="K72" s="231">
        <f t="shared" si="1"/>
        <v>30.72</v>
      </c>
      <c r="L72" s="231">
        <f t="shared" si="1"/>
        <v>36.419950488650002</v>
      </c>
      <c r="M72" s="231">
        <f t="shared" si="1"/>
        <v>145.234298548</v>
      </c>
    </row>
    <row r="73" spans="1:13" x14ac:dyDescent="0.25">
      <c r="A73" s="114" t="s">
        <v>218</v>
      </c>
      <c r="B73" s="118"/>
      <c r="C73" s="333"/>
      <c r="D73" s="333"/>
      <c r="E73" s="333"/>
      <c r="F73" s="333"/>
      <c r="G73" s="333"/>
      <c r="H73" s="333"/>
      <c r="I73" s="333"/>
      <c r="J73" s="333"/>
      <c r="K73" s="333"/>
      <c r="L73" s="333"/>
      <c r="M73" s="333"/>
    </row>
    <row r="74" spans="1:13" x14ac:dyDescent="0.25">
      <c r="A74" s="281" t="s">
        <v>162</v>
      </c>
      <c r="B74" s="178" t="s">
        <v>10</v>
      </c>
      <c r="C74" s="80">
        <v>15.62</v>
      </c>
      <c r="D74" s="80">
        <v>12.62</v>
      </c>
      <c r="E74" s="80">
        <v>15.87</v>
      </c>
      <c r="F74" s="80">
        <v>12.96</v>
      </c>
      <c r="G74" s="80">
        <v>12.13</v>
      </c>
      <c r="H74" s="80">
        <v>13.22</v>
      </c>
      <c r="I74" s="80">
        <v>15.18</v>
      </c>
      <c r="J74" s="80">
        <v>17.75</v>
      </c>
      <c r="K74" s="80">
        <v>15.79</v>
      </c>
      <c r="L74" s="80">
        <v>14.340635301999999</v>
      </c>
      <c r="M74" s="80">
        <v>10.551092544999999</v>
      </c>
    </row>
    <row r="75" spans="1:13" x14ac:dyDescent="0.25">
      <c r="A75" s="281" t="s">
        <v>163</v>
      </c>
      <c r="B75" s="178" t="s">
        <v>10</v>
      </c>
      <c r="C75" s="80">
        <v>3.99</v>
      </c>
      <c r="D75" s="80">
        <v>3</v>
      </c>
      <c r="E75" s="80">
        <v>5.0199999999999996</v>
      </c>
      <c r="F75" s="80">
        <v>6.39</v>
      </c>
      <c r="G75" s="80">
        <v>6.11</v>
      </c>
      <c r="H75" s="80">
        <v>5.59</v>
      </c>
      <c r="I75" s="80">
        <v>4.97</v>
      </c>
      <c r="J75" s="80">
        <v>3.01</v>
      </c>
      <c r="K75" s="80">
        <v>2.46</v>
      </c>
      <c r="L75" s="80">
        <v>4.2525437149999998</v>
      </c>
      <c r="M75" s="80">
        <v>6.0735410700000001</v>
      </c>
    </row>
    <row r="76" spans="1:13" ht="15.75" thickBot="1" x14ac:dyDescent="0.3">
      <c r="A76" s="282" t="s">
        <v>164</v>
      </c>
      <c r="B76" s="258" t="s">
        <v>10</v>
      </c>
      <c r="C76" s="266">
        <v>1.0000000000001563E-2</v>
      </c>
      <c r="D76" s="266">
        <v>0</v>
      </c>
      <c r="E76" s="266">
        <v>0</v>
      </c>
      <c r="F76" s="266">
        <v>0</v>
      </c>
      <c r="G76" s="266">
        <v>0</v>
      </c>
      <c r="H76" s="266">
        <v>0</v>
      </c>
      <c r="I76" s="266">
        <v>0</v>
      </c>
      <c r="J76" s="266">
        <v>0</v>
      </c>
      <c r="K76" s="266">
        <v>3.38</v>
      </c>
      <c r="L76" s="266">
        <v>4.1758056329999995</v>
      </c>
      <c r="M76" s="266">
        <v>17.626299385000003</v>
      </c>
    </row>
    <row r="77" spans="1:13" s="208" customFormat="1" ht="15.75" thickTop="1" x14ac:dyDescent="0.25">
      <c r="A77" s="275" t="s">
        <v>199</v>
      </c>
      <c r="B77" s="301" t="s">
        <v>10</v>
      </c>
      <c r="C77" s="231">
        <f t="shared" ref="C77:M77" si="2">C76+C75+C74</f>
        <v>19.62</v>
      </c>
      <c r="D77" s="231">
        <f t="shared" si="2"/>
        <v>15.62</v>
      </c>
      <c r="E77" s="231">
        <f t="shared" si="2"/>
        <v>20.89</v>
      </c>
      <c r="F77" s="231">
        <f t="shared" si="2"/>
        <v>19.350000000000001</v>
      </c>
      <c r="G77" s="231">
        <f t="shared" si="2"/>
        <v>18.240000000000002</v>
      </c>
      <c r="H77" s="231">
        <f t="shared" si="2"/>
        <v>18.810000000000002</v>
      </c>
      <c r="I77" s="231">
        <f t="shared" si="2"/>
        <v>20.149999999999999</v>
      </c>
      <c r="J77" s="231">
        <f t="shared" si="2"/>
        <v>20.759999999999998</v>
      </c>
      <c r="K77" s="231">
        <f t="shared" si="2"/>
        <v>21.63</v>
      </c>
      <c r="L77" s="231">
        <f t="shared" si="2"/>
        <v>22.76898465</v>
      </c>
      <c r="M77" s="231">
        <f t="shared" si="2"/>
        <v>34.250933000000003</v>
      </c>
    </row>
    <row r="78" spans="1:13" x14ac:dyDescent="0.25">
      <c r="A78" s="114" t="s">
        <v>219</v>
      </c>
      <c r="B78" s="118"/>
      <c r="C78" s="333"/>
      <c r="D78" s="333"/>
      <c r="E78" s="333"/>
      <c r="F78" s="333"/>
      <c r="G78" s="333"/>
      <c r="H78" s="333"/>
      <c r="I78" s="333"/>
      <c r="J78" s="333"/>
      <c r="K78" s="333"/>
      <c r="L78" s="333"/>
      <c r="M78" s="333"/>
    </row>
    <row r="79" spans="1:13" x14ac:dyDescent="0.25">
      <c r="A79" s="281" t="s">
        <v>162</v>
      </c>
      <c r="B79" s="178" t="s">
        <v>10</v>
      </c>
      <c r="C79" s="80">
        <v>19.87</v>
      </c>
      <c r="D79" s="80">
        <v>19.52</v>
      </c>
      <c r="E79" s="80">
        <v>16.23</v>
      </c>
      <c r="F79" s="80">
        <v>13.38</v>
      </c>
      <c r="G79" s="80">
        <v>10.84</v>
      </c>
      <c r="H79" s="80">
        <v>8.99</v>
      </c>
      <c r="I79" s="80">
        <v>7.88</v>
      </c>
      <c r="J79" s="80">
        <v>7.08</v>
      </c>
      <c r="K79" s="80">
        <v>3.72</v>
      </c>
      <c r="L79" s="80">
        <v>3.2165953979999999</v>
      </c>
      <c r="M79" s="80">
        <v>2.2602863709999998</v>
      </c>
    </row>
    <row r="80" spans="1:13" x14ac:dyDescent="0.25">
      <c r="A80" s="281" t="s">
        <v>163</v>
      </c>
      <c r="B80" s="178" t="s">
        <v>10</v>
      </c>
      <c r="C80" s="80">
        <v>6.56</v>
      </c>
      <c r="D80" s="80">
        <v>6.23</v>
      </c>
      <c r="E80" s="80">
        <v>6.9</v>
      </c>
      <c r="F80" s="80">
        <v>7.7</v>
      </c>
      <c r="G80" s="80">
        <v>5.97</v>
      </c>
      <c r="H80" s="80">
        <v>5.76</v>
      </c>
      <c r="I80" s="80">
        <v>5.66</v>
      </c>
      <c r="J80" s="80">
        <v>5.585</v>
      </c>
      <c r="K80" s="80">
        <v>5.83</v>
      </c>
      <c r="L80" s="80">
        <v>2.8084007510000002</v>
      </c>
      <c r="M80" s="80">
        <v>2.7332432999999998</v>
      </c>
    </row>
    <row r="81" spans="1:13" ht="15.75" thickBot="1" x14ac:dyDescent="0.3">
      <c r="A81" s="282" t="s">
        <v>164</v>
      </c>
      <c r="B81" s="297" t="s">
        <v>10</v>
      </c>
      <c r="C81" s="266">
        <v>0</v>
      </c>
      <c r="D81" s="266">
        <v>0</v>
      </c>
      <c r="E81" s="266">
        <v>0</v>
      </c>
      <c r="F81" s="266">
        <v>0</v>
      </c>
      <c r="G81" s="266">
        <v>0</v>
      </c>
      <c r="H81" s="266">
        <v>0</v>
      </c>
      <c r="I81" s="266">
        <v>0</v>
      </c>
      <c r="J81" s="266">
        <v>0</v>
      </c>
      <c r="K81" s="266">
        <v>1.42</v>
      </c>
      <c r="L81" s="266">
        <v>8.0266657962999979</v>
      </c>
      <c r="M81" s="266">
        <v>106.24308175199999</v>
      </c>
    </row>
    <row r="82" spans="1:13" s="208" customFormat="1" ht="15.75" thickTop="1" x14ac:dyDescent="0.25">
      <c r="A82" s="275" t="s">
        <v>199</v>
      </c>
      <c r="B82" s="298" t="s">
        <v>10</v>
      </c>
      <c r="C82" s="231">
        <f t="shared" ref="C82:M82" si="3">C81+C80+C79</f>
        <v>26.43</v>
      </c>
      <c r="D82" s="231">
        <f t="shared" si="3"/>
        <v>25.75</v>
      </c>
      <c r="E82" s="231">
        <f t="shared" si="3"/>
        <v>23.130000000000003</v>
      </c>
      <c r="F82" s="231">
        <f t="shared" si="3"/>
        <v>21.080000000000002</v>
      </c>
      <c r="G82" s="231">
        <f t="shared" si="3"/>
        <v>16.809999999999999</v>
      </c>
      <c r="H82" s="231">
        <f t="shared" si="3"/>
        <v>14.75</v>
      </c>
      <c r="I82" s="231">
        <f t="shared" si="3"/>
        <v>13.54</v>
      </c>
      <c r="J82" s="231">
        <f t="shared" si="3"/>
        <v>12.664999999999999</v>
      </c>
      <c r="K82" s="231">
        <f t="shared" si="3"/>
        <v>10.97</v>
      </c>
      <c r="L82" s="231">
        <f t="shared" si="3"/>
        <v>14.051661945299998</v>
      </c>
      <c r="M82" s="231">
        <f t="shared" si="3"/>
        <v>111.236611423</v>
      </c>
    </row>
    <row r="83" spans="1:13" x14ac:dyDescent="0.25">
      <c r="A83" s="114" t="s">
        <v>250</v>
      </c>
      <c r="B83" s="118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</row>
    <row r="84" spans="1:13" x14ac:dyDescent="0.25">
      <c r="A84" s="283" t="s">
        <v>220</v>
      </c>
      <c r="B84" s="187" t="s">
        <v>8</v>
      </c>
      <c r="C84" s="232" t="s">
        <v>93</v>
      </c>
      <c r="D84" s="232" t="s">
        <v>93</v>
      </c>
      <c r="E84" s="232" t="s">
        <v>93</v>
      </c>
      <c r="F84" s="232" t="s">
        <v>93</v>
      </c>
      <c r="G84" s="232" t="s">
        <v>93</v>
      </c>
      <c r="H84" s="232" t="s">
        <v>93</v>
      </c>
      <c r="I84" s="233">
        <f>72/1000</f>
        <v>7.1999999999999995E-2</v>
      </c>
      <c r="J84" s="233">
        <f>59.926/1000</f>
        <v>5.9926E-2</v>
      </c>
      <c r="K84" s="233">
        <f>62.704/1000</f>
        <v>6.2703999999999996E-2</v>
      </c>
      <c r="L84" s="233">
        <f>42.07025/1000</f>
        <v>4.2070250000000003E-2</v>
      </c>
      <c r="M84" s="233">
        <f>43/1000</f>
        <v>4.2999999999999997E-2</v>
      </c>
    </row>
    <row r="85" spans="1:13" x14ac:dyDescent="0.25">
      <c r="A85" s="283" t="s">
        <v>221</v>
      </c>
      <c r="B85" s="187" t="s">
        <v>8</v>
      </c>
      <c r="C85" s="232" t="s">
        <v>93</v>
      </c>
      <c r="D85" s="232" t="s">
        <v>93</v>
      </c>
      <c r="E85" s="232" t="s">
        <v>93</v>
      </c>
      <c r="F85" s="232" t="s">
        <v>93</v>
      </c>
      <c r="G85" s="232" t="s">
        <v>93</v>
      </c>
      <c r="H85" s="232" t="s">
        <v>93</v>
      </c>
      <c r="I85" s="163">
        <f>5.8135</f>
        <v>5.8135000000000003</v>
      </c>
      <c r="J85" s="233">
        <f>2.441369</f>
        <v>2.4413689999999999</v>
      </c>
      <c r="K85" s="163">
        <f>1.125651</f>
        <v>1.125651</v>
      </c>
      <c r="L85" s="163">
        <f>30.0225/1000</f>
        <v>3.0022500000000001E-2</v>
      </c>
      <c r="M85" s="163">
        <f>53/1000</f>
        <v>5.2999999999999999E-2</v>
      </c>
    </row>
    <row r="86" spans="1:13" x14ac:dyDescent="0.25">
      <c r="A86" s="283" t="s">
        <v>222</v>
      </c>
      <c r="B86" s="187" t="s">
        <v>8</v>
      </c>
      <c r="C86" s="232" t="s">
        <v>93</v>
      </c>
      <c r="D86" s="232" t="s">
        <v>93</v>
      </c>
      <c r="E86" s="232" t="s">
        <v>93</v>
      </c>
      <c r="F86" s="232" t="s">
        <v>93</v>
      </c>
      <c r="G86" s="232" t="s">
        <v>93</v>
      </c>
      <c r="H86" s="232" t="s">
        <v>93</v>
      </c>
      <c r="I86" s="163">
        <f>29.8611</f>
        <v>29.8611</v>
      </c>
      <c r="J86" s="233">
        <f>12.296726</f>
        <v>12.296726</v>
      </c>
      <c r="K86" s="163">
        <f>15.235915</f>
        <v>15.235915</v>
      </c>
      <c r="L86" s="163">
        <f>5.192851</f>
        <v>5.1928510000000001</v>
      </c>
      <c r="M86" s="163">
        <v>7.0449999999999999</v>
      </c>
    </row>
    <row r="87" spans="1:13" x14ac:dyDescent="0.25">
      <c r="A87" s="283" t="s">
        <v>223</v>
      </c>
      <c r="B87" s="187" t="s">
        <v>8</v>
      </c>
      <c r="C87" s="232" t="s">
        <v>93</v>
      </c>
      <c r="D87" s="232" t="s">
        <v>93</v>
      </c>
      <c r="E87" s="232" t="s">
        <v>93</v>
      </c>
      <c r="F87" s="232" t="s">
        <v>93</v>
      </c>
      <c r="G87" s="232" t="s">
        <v>93</v>
      </c>
      <c r="H87" s="232" t="s">
        <v>93</v>
      </c>
      <c r="I87" s="163">
        <f>1113.548</f>
        <v>1113.548</v>
      </c>
      <c r="J87" s="233">
        <f>1189.921717</f>
        <v>1189.9217169999999</v>
      </c>
      <c r="K87" s="163">
        <f>1191.0718</f>
        <v>1191.0717999999999</v>
      </c>
      <c r="L87" s="163">
        <f>1114.5969202</f>
        <v>1114.5969202000001</v>
      </c>
      <c r="M87" s="163">
        <v>1175.1690000000001</v>
      </c>
    </row>
    <row r="88" spans="1:13" ht="15.75" thickBot="1" x14ac:dyDescent="0.3">
      <c r="A88" s="284" t="s">
        <v>224</v>
      </c>
      <c r="B88" s="296" t="s">
        <v>8</v>
      </c>
      <c r="C88" s="267" t="s">
        <v>93</v>
      </c>
      <c r="D88" s="267" t="s">
        <v>93</v>
      </c>
      <c r="E88" s="267" t="s">
        <v>93</v>
      </c>
      <c r="F88" s="267" t="s">
        <v>93</v>
      </c>
      <c r="G88" s="267" t="s">
        <v>93</v>
      </c>
      <c r="H88" s="267" t="s">
        <v>93</v>
      </c>
      <c r="I88" s="268">
        <f>32118.3691</f>
        <v>32118.3691</v>
      </c>
      <c r="J88" s="269">
        <f>30721.75619</f>
        <v>30721.75619</v>
      </c>
      <c r="K88" s="268">
        <f>29517.073601</f>
        <v>29517.073601</v>
      </c>
      <c r="L88" s="268">
        <f>35300.0886247</f>
        <v>35300.088624700002</v>
      </c>
      <c r="M88" s="268">
        <v>144051.988667</v>
      </c>
    </row>
    <row r="89" spans="1:13" s="208" customFormat="1" ht="15.75" thickTop="1" x14ac:dyDescent="0.25">
      <c r="A89" s="275" t="s">
        <v>249</v>
      </c>
      <c r="B89" s="302" t="s">
        <v>8</v>
      </c>
      <c r="C89" s="205" t="s">
        <v>93</v>
      </c>
      <c r="D89" s="205" t="s">
        <v>93</v>
      </c>
      <c r="E89" s="205" t="s">
        <v>93</v>
      </c>
      <c r="F89" s="205" t="s">
        <v>93</v>
      </c>
      <c r="G89" s="205" t="s">
        <v>93</v>
      </c>
      <c r="H89" s="205" t="s">
        <v>93</v>
      </c>
      <c r="I89" s="95">
        <f>I84+I85+I86+I87+I88</f>
        <v>33267.663699999997</v>
      </c>
      <c r="J89" s="95">
        <f>J84+J85+J86+J87+J88</f>
        <v>31926.475928</v>
      </c>
      <c r="K89" s="95">
        <f>K84+K85+K86+K87+K88</f>
        <v>30724.569671000001</v>
      </c>
      <c r="L89" s="95">
        <f>L84+L85+L86+L87+L88</f>
        <v>36419.95048865</v>
      </c>
      <c r="M89" s="95">
        <f>M84+M85+M86+M87+M88</f>
        <v>145234.298667</v>
      </c>
    </row>
    <row r="90" spans="1:13" x14ac:dyDescent="0.25">
      <c r="A90" s="113" t="s">
        <v>174</v>
      </c>
      <c r="B90" s="295"/>
      <c r="C90" s="90"/>
      <c r="D90" s="90"/>
      <c r="E90" s="90"/>
      <c r="F90" s="90"/>
      <c r="G90" s="329"/>
      <c r="H90" s="329"/>
      <c r="I90" s="329"/>
      <c r="J90" s="329"/>
      <c r="K90" s="329"/>
      <c r="L90" s="329"/>
      <c r="M90" s="329"/>
    </row>
    <row r="91" spans="1:13" s="236" customFormat="1" x14ac:dyDescent="0.25">
      <c r="A91" s="285" t="s">
        <v>166</v>
      </c>
      <c r="B91" s="178" t="s">
        <v>124</v>
      </c>
      <c r="C91" s="232" t="s">
        <v>93</v>
      </c>
      <c r="D91" s="232" t="s">
        <v>93</v>
      </c>
      <c r="E91" s="232" t="s">
        <v>93</v>
      </c>
      <c r="F91" s="232" t="s">
        <v>93</v>
      </c>
      <c r="G91" s="232" t="s">
        <v>93</v>
      </c>
      <c r="H91" s="234">
        <f>H92+H93+H94+H95</f>
        <v>161710</v>
      </c>
      <c r="I91" s="234">
        <f>I92+I93+I94+I95</f>
        <v>172425</v>
      </c>
      <c r="J91" s="234">
        <f>J92+J93+J94+J95</f>
        <v>156568</v>
      </c>
      <c r="K91" s="235">
        <f>K92+K93+K94+K95</f>
        <v>148910</v>
      </c>
      <c r="L91" s="235">
        <f>L92+L93+L94+L95+1</f>
        <v>144772</v>
      </c>
      <c r="M91" s="235">
        <v>141238</v>
      </c>
    </row>
    <row r="92" spans="1:13" x14ac:dyDescent="0.25">
      <c r="A92" s="286" t="s">
        <v>132</v>
      </c>
      <c r="B92" s="178" t="s">
        <v>124</v>
      </c>
      <c r="C92" s="232" t="s">
        <v>93</v>
      </c>
      <c r="D92" s="232" t="s">
        <v>93</v>
      </c>
      <c r="E92" s="232" t="s">
        <v>93</v>
      </c>
      <c r="F92" s="232" t="s">
        <v>93</v>
      </c>
      <c r="G92" s="232" t="s">
        <v>93</v>
      </c>
      <c r="H92" s="234">
        <v>145266</v>
      </c>
      <c r="I92" s="237">
        <v>151081</v>
      </c>
      <c r="J92" s="237">
        <v>134709</v>
      </c>
      <c r="K92" s="237">
        <v>129335</v>
      </c>
      <c r="L92" s="237">
        <v>125329</v>
      </c>
      <c r="M92" s="237">
        <v>122216</v>
      </c>
    </row>
    <row r="93" spans="1:13" x14ac:dyDescent="0.25">
      <c r="A93" s="286" t="s">
        <v>134</v>
      </c>
      <c r="B93" s="178" t="s">
        <v>124</v>
      </c>
      <c r="C93" s="232" t="s">
        <v>93</v>
      </c>
      <c r="D93" s="232" t="s">
        <v>93</v>
      </c>
      <c r="E93" s="232" t="s">
        <v>93</v>
      </c>
      <c r="F93" s="232" t="s">
        <v>93</v>
      </c>
      <c r="G93" s="232" t="s">
        <v>93</v>
      </c>
      <c r="H93" s="234">
        <v>12274</v>
      </c>
      <c r="I93" s="237">
        <v>15423</v>
      </c>
      <c r="J93" s="237">
        <v>15221</v>
      </c>
      <c r="K93" s="237">
        <v>13788</v>
      </c>
      <c r="L93" s="237">
        <v>13535</v>
      </c>
      <c r="M93" s="238" t="s">
        <v>228</v>
      </c>
    </row>
    <row r="94" spans="1:13" x14ac:dyDescent="0.25">
      <c r="A94" s="286" t="s">
        <v>135</v>
      </c>
      <c r="B94" s="178" t="s">
        <v>124</v>
      </c>
      <c r="C94" s="232" t="s">
        <v>93</v>
      </c>
      <c r="D94" s="232" t="s">
        <v>93</v>
      </c>
      <c r="E94" s="232" t="s">
        <v>93</v>
      </c>
      <c r="F94" s="232" t="s">
        <v>93</v>
      </c>
      <c r="G94" s="232" t="s">
        <v>93</v>
      </c>
      <c r="H94" s="234">
        <v>0</v>
      </c>
      <c r="I94" s="237">
        <v>3789</v>
      </c>
      <c r="J94" s="237">
        <v>5178</v>
      </c>
      <c r="K94" s="237">
        <v>4127</v>
      </c>
      <c r="L94" s="237">
        <v>3820</v>
      </c>
      <c r="M94" s="237">
        <v>2902</v>
      </c>
    </row>
    <row r="95" spans="1:13" x14ac:dyDescent="0.25">
      <c r="A95" s="286" t="s">
        <v>133</v>
      </c>
      <c r="B95" s="178" t="s">
        <v>124</v>
      </c>
      <c r="C95" s="232" t="s">
        <v>93</v>
      </c>
      <c r="D95" s="232" t="s">
        <v>93</v>
      </c>
      <c r="E95" s="232" t="s">
        <v>93</v>
      </c>
      <c r="F95" s="232" t="s">
        <v>93</v>
      </c>
      <c r="G95" s="232" t="s">
        <v>93</v>
      </c>
      <c r="H95" s="234">
        <v>4170</v>
      </c>
      <c r="I95" s="237">
        <v>2132</v>
      </c>
      <c r="J95" s="237">
        <v>1460</v>
      </c>
      <c r="K95" s="237">
        <v>1660</v>
      </c>
      <c r="L95" s="237">
        <v>2087</v>
      </c>
      <c r="M95" s="159">
        <v>2180</v>
      </c>
    </row>
    <row r="96" spans="1:13" x14ac:dyDescent="0.25">
      <c r="A96" s="287" t="s">
        <v>167</v>
      </c>
      <c r="B96" s="178" t="s">
        <v>124</v>
      </c>
      <c r="C96" s="232" t="s">
        <v>93</v>
      </c>
      <c r="D96" s="232" t="s">
        <v>93</v>
      </c>
      <c r="E96" s="232" t="s">
        <v>93</v>
      </c>
      <c r="F96" s="232" t="s">
        <v>93</v>
      </c>
      <c r="G96" s="232" t="s">
        <v>93</v>
      </c>
      <c r="H96" s="234">
        <v>17027</v>
      </c>
      <c r="I96" s="234">
        <v>11856</v>
      </c>
      <c r="J96" s="234">
        <v>12414</v>
      </c>
      <c r="K96" s="234">
        <v>14877</v>
      </c>
      <c r="L96" s="234">
        <v>15058</v>
      </c>
      <c r="M96" s="18">
        <v>15310</v>
      </c>
    </row>
    <row r="97" spans="1:13" x14ac:dyDescent="0.25">
      <c r="A97" s="287" t="s">
        <v>169</v>
      </c>
      <c r="B97" s="178" t="s">
        <v>124</v>
      </c>
      <c r="C97" s="232" t="s">
        <v>93</v>
      </c>
      <c r="D97" s="232" t="s">
        <v>93</v>
      </c>
      <c r="E97" s="232" t="s">
        <v>93</v>
      </c>
      <c r="F97" s="232" t="s">
        <v>93</v>
      </c>
      <c r="G97" s="232" t="s">
        <v>93</v>
      </c>
      <c r="H97" s="234">
        <v>15528</v>
      </c>
      <c r="I97" s="234">
        <v>8968</v>
      </c>
      <c r="J97" s="234">
        <v>10483</v>
      </c>
      <c r="K97" s="234">
        <v>10931</v>
      </c>
      <c r="L97" s="234">
        <v>11331</v>
      </c>
      <c r="M97" s="18">
        <v>11200</v>
      </c>
    </row>
    <row r="98" spans="1:13" ht="15.75" thickBot="1" x14ac:dyDescent="0.3">
      <c r="A98" s="288" t="s">
        <v>168</v>
      </c>
      <c r="B98" s="297" t="s">
        <v>124</v>
      </c>
      <c r="C98" s="267" t="s">
        <v>93</v>
      </c>
      <c r="D98" s="267" t="s">
        <v>93</v>
      </c>
      <c r="E98" s="267" t="s">
        <v>93</v>
      </c>
      <c r="F98" s="267" t="s">
        <v>93</v>
      </c>
      <c r="G98" s="267" t="s">
        <v>93</v>
      </c>
      <c r="H98" s="270">
        <v>17918</v>
      </c>
      <c r="I98" s="270">
        <v>19882</v>
      </c>
      <c r="J98" s="270">
        <v>19503</v>
      </c>
      <c r="K98" s="270">
        <v>18926</v>
      </c>
      <c r="L98" s="270">
        <v>18766</v>
      </c>
      <c r="M98" s="271">
        <v>17254</v>
      </c>
    </row>
    <row r="99" spans="1:13" s="208" customFormat="1" ht="15.75" thickTop="1" x14ac:dyDescent="0.25">
      <c r="A99" s="190" t="s">
        <v>227</v>
      </c>
      <c r="B99" s="298" t="s">
        <v>124</v>
      </c>
      <c r="C99" s="205" t="s">
        <v>93</v>
      </c>
      <c r="D99" s="205" t="s">
        <v>93</v>
      </c>
      <c r="E99" s="205" t="s">
        <v>93</v>
      </c>
      <c r="F99" s="205" t="s">
        <v>93</v>
      </c>
      <c r="G99" s="205" t="s">
        <v>93</v>
      </c>
      <c r="H99" s="239">
        <f>H91+H96+H97-H98</f>
        <v>176347</v>
      </c>
      <c r="I99" s="239">
        <f>I91+I96+I97-I98</f>
        <v>173367</v>
      </c>
      <c r="J99" s="239">
        <f>J91+J96+J97-J98</f>
        <v>159962</v>
      </c>
      <c r="K99" s="200">
        <f>K91+K96+K97-K98</f>
        <v>155792</v>
      </c>
      <c r="L99" s="200">
        <f>L91+L96+L97-L98</f>
        <v>152395</v>
      </c>
      <c r="M99" s="200">
        <v>150494</v>
      </c>
    </row>
    <row r="100" spans="1:13" x14ac:dyDescent="0.25">
      <c r="A100" s="287" t="s">
        <v>171</v>
      </c>
      <c r="B100" s="178" t="s">
        <v>124</v>
      </c>
      <c r="C100" s="232" t="s">
        <v>93</v>
      </c>
      <c r="D100" s="232" t="s">
        <v>93</v>
      </c>
      <c r="E100" s="232" t="s">
        <v>93</v>
      </c>
      <c r="F100" s="232" t="s">
        <v>93</v>
      </c>
      <c r="G100" s="232" t="s">
        <v>93</v>
      </c>
      <c r="H100" s="240">
        <v>42943</v>
      </c>
      <c r="I100" s="240">
        <v>32530</v>
      </c>
      <c r="J100" s="240">
        <v>32355</v>
      </c>
      <c r="K100" s="240">
        <v>33242</v>
      </c>
      <c r="L100" s="234">
        <v>33338</v>
      </c>
      <c r="M100" s="18">
        <v>32861</v>
      </c>
    </row>
    <row r="101" spans="1:13" x14ac:dyDescent="0.25">
      <c r="A101" s="287" t="s">
        <v>170</v>
      </c>
      <c r="B101" s="187" t="s">
        <v>0</v>
      </c>
      <c r="C101" s="232" t="s">
        <v>93</v>
      </c>
      <c r="D101" s="232" t="s">
        <v>93</v>
      </c>
      <c r="E101" s="232" t="s">
        <v>93</v>
      </c>
      <c r="F101" s="232" t="s">
        <v>93</v>
      </c>
      <c r="G101" s="232" t="s">
        <v>93</v>
      </c>
      <c r="H101" s="241">
        <f>H96/H99</f>
        <v>9.6553953285284128E-2</v>
      </c>
      <c r="I101" s="241">
        <f>I96/I99</f>
        <v>6.8386717195313987E-2</v>
      </c>
      <c r="J101" s="241">
        <f>J96/J99</f>
        <v>7.7605931408709569E-2</v>
      </c>
      <c r="K101" s="241">
        <f>K96/K99</f>
        <v>9.5492708226353085E-2</v>
      </c>
      <c r="L101" s="241">
        <f>L96/L99</f>
        <v>9.8809016043833464E-2</v>
      </c>
      <c r="M101" s="241">
        <v>0.10173163049689689</v>
      </c>
    </row>
    <row r="102" spans="1:13" x14ac:dyDescent="0.25">
      <c r="A102" s="287" t="s">
        <v>172</v>
      </c>
      <c r="B102" s="187" t="s">
        <v>0</v>
      </c>
      <c r="C102" s="232" t="s">
        <v>93</v>
      </c>
      <c r="D102" s="232" t="s">
        <v>93</v>
      </c>
      <c r="E102" s="232" t="s">
        <v>93</v>
      </c>
      <c r="F102" s="232" t="s">
        <v>93</v>
      </c>
      <c r="G102" s="232" t="s">
        <v>93</v>
      </c>
      <c r="H102" s="219">
        <f>39.7%</f>
        <v>0.39700000000000002</v>
      </c>
      <c r="I102" s="242">
        <v>0.36399999999999999</v>
      </c>
      <c r="J102" s="242">
        <v>0.376</v>
      </c>
      <c r="K102" s="242">
        <v>0.436</v>
      </c>
      <c r="L102" s="242">
        <v>0.44500000000000001</v>
      </c>
      <c r="M102" s="242">
        <v>0.4598460180761389</v>
      </c>
    </row>
    <row r="103" spans="1:13" x14ac:dyDescent="0.25">
      <c r="A103" s="287" t="s">
        <v>173</v>
      </c>
      <c r="B103" s="187" t="s">
        <v>0</v>
      </c>
      <c r="C103" s="232" t="s">
        <v>93</v>
      </c>
      <c r="D103" s="232" t="s">
        <v>93</v>
      </c>
      <c r="E103" s="232" t="s">
        <v>93</v>
      </c>
      <c r="F103" s="232" t="s">
        <v>93</v>
      </c>
      <c r="G103" s="232" t="s">
        <v>93</v>
      </c>
      <c r="H103" s="242">
        <f>H92/H99</f>
        <v>0.82375090021378305</v>
      </c>
      <c r="I103" s="242">
        <f>I92/I99</f>
        <v>0.87145189107500276</v>
      </c>
      <c r="J103" s="242">
        <f>J92/J99</f>
        <v>0.84213125617334117</v>
      </c>
      <c r="K103" s="242">
        <f>K92/K99</f>
        <v>0.83017741604190198</v>
      </c>
      <c r="L103" s="242">
        <f>L92/L99</f>
        <v>0.82239574789199121</v>
      </c>
      <c r="M103" s="242">
        <v>0.81209882121546373</v>
      </c>
    </row>
    <row r="104" spans="1:13" x14ac:dyDescent="0.25">
      <c r="A104" s="113" t="s">
        <v>86</v>
      </c>
      <c r="B104" s="295"/>
      <c r="C104" s="90"/>
      <c r="D104" s="90"/>
      <c r="E104" s="90"/>
      <c r="F104" s="90"/>
      <c r="G104" s="329"/>
      <c r="H104" s="329"/>
      <c r="I104" s="329"/>
      <c r="J104" s="329"/>
      <c r="K104" s="329"/>
      <c r="L104" s="329"/>
      <c r="M104" s="329"/>
    </row>
    <row r="105" spans="1:13" x14ac:dyDescent="0.25">
      <c r="A105" s="173" t="s">
        <v>192</v>
      </c>
      <c r="B105" s="187" t="s">
        <v>13</v>
      </c>
      <c r="C105" s="234">
        <v>514.91603556140933</v>
      </c>
      <c r="D105" s="234">
        <v>603.19836679142566</v>
      </c>
      <c r="E105" s="234">
        <v>611.07001575917411</v>
      </c>
      <c r="F105" s="234">
        <v>571.46445616679227</v>
      </c>
      <c r="G105" s="234">
        <v>504.92299924261545</v>
      </c>
      <c r="H105" s="234">
        <v>387.15244455599685</v>
      </c>
      <c r="I105" s="235">
        <v>373</v>
      </c>
      <c r="J105" s="235">
        <v>444</v>
      </c>
      <c r="K105" s="235">
        <v>507</v>
      </c>
      <c r="L105" s="235">
        <v>596</v>
      </c>
      <c r="M105" s="235">
        <v>446.29199999999997</v>
      </c>
    </row>
    <row r="106" spans="1:13" x14ac:dyDescent="0.25">
      <c r="A106" s="183" t="s">
        <v>152</v>
      </c>
      <c r="B106" s="187" t="s">
        <v>13</v>
      </c>
      <c r="C106" s="79" t="s">
        <v>93</v>
      </c>
      <c r="D106" s="79" t="s">
        <v>93</v>
      </c>
      <c r="E106" s="79" t="s">
        <v>93</v>
      </c>
      <c r="F106" s="79" t="s">
        <v>93</v>
      </c>
      <c r="G106" s="79" t="s">
        <v>93</v>
      </c>
      <c r="H106" s="79" t="s">
        <v>93</v>
      </c>
      <c r="I106" s="224">
        <v>11.188000000000001</v>
      </c>
      <c r="J106" s="235">
        <v>14.928000000000001</v>
      </c>
      <c r="K106" s="235">
        <v>11.11</v>
      </c>
      <c r="L106" s="235">
        <v>13.7</v>
      </c>
      <c r="M106" s="235">
        <v>33.389000000000003</v>
      </c>
    </row>
    <row r="107" spans="1:13" x14ac:dyDescent="0.25">
      <c r="A107" s="113" t="s">
        <v>88</v>
      </c>
      <c r="B107" s="295"/>
      <c r="C107" s="90"/>
      <c r="D107" s="90"/>
      <c r="E107" s="90"/>
      <c r="F107" s="90"/>
      <c r="G107" s="329"/>
      <c r="H107" s="329"/>
      <c r="I107" s="329"/>
      <c r="J107" s="329"/>
      <c r="K107" s="329"/>
      <c r="L107" s="329"/>
      <c r="M107" s="329"/>
    </row>
    <row r="108" spans="1:13" s="61" customFormat="1" x14ac:dyDescent="0.25">
      <c r="A108" s="114" t="s">
        <v>46</v>
      </c>
      <c r="B108" s="177"/>
      <c r="C108" s="81"/>
      <c r="D108" s="328"/>
      <c r="E108" s="328"/>
      <c r="F108" s="328"/>
      <c r="G108" s="328"/>
      <c r="H108" s="328"/>
      <c r="I108" s="328"/>
      <c r="J108" s="328"/>
      <c r="K108" s="328"/>
      <c r="L108" s="328"/>
      <c r="M108" s="328"/>
    </row>
    <row r="109" spans="1:13" s="61" customFormat="1" x14ac:dyDescent="0.25">
      <c r="A109" s="289" t="s">
        <v>49</v>
      </c>
      <c r="B109" s="187" t="s">
        <v>9</v>
      </c>
      <c r="C109" s="232" t="s">
        <v>93</v>
      </c>
      <c r="D109" s="232" t="s">
        <v>93</v>
      </c>
      <c r="E109" s="232" t="s">
        <v>93</v>
      </c>
      <c r="F109" s="75">
        <f t="shared" ref="F109:L109" si="4">F110+F111</f>
        <v>82</v>
      </c>
      <c r="G109" s="75">
        <f t="shared" si="4"/>
        <v>51.8</v>
      </c>
      <c r="H109" s="75">
        <f t="shared" si="4"/>
        <v>71.7</v>
      </c>
      <c r="I109" s="75">
        <f t="shared" si="4"/>
        <v>71.599999999999994</v>
      </c>
      <c r="J109" s="75">
        <f t="shared" si="4"/>
        <v>70.7</v>
      </c>
      <c r="K109" s="75">
        <f t="shared" si="4"/>
        <v>85.2</v>
      </c>
      <c r="L109" s="75">
        <f t="shared" si="4"/>
        <v>39.6</v>
      </c>
      <c r="M109" s="75">
        <v>34.299999999999997</v>
      </c>
    </row>
    <row r="110" spans="1:13" s="243" customFormat="1" x14ac:dyDescent="0.25">
      <c r="A110" s="290" t="s">
        <v>1</v>
      </c>
      <c r="B110" s="300" t="s">
        <v>9</v>
      </c>
      <c r="C110" s="232" t="s">
        <v>93</v>
      </c>
      <c r="D110" s="232" t="s">
        <v>93</v>
      </c>
      <c r="E110" s="232" t="s">
        <v>93</v>
      </c>
      <c r="F110" s="76">
        <v>2</v>
      </c>
      <c r="G110" s="76">
        <v>1.8</v>
      </c>
      <c r="H110" s="76">
        <v>1.7</v>
      </c>
      <c r="I110" s="76">
        <v>1.6</v>
      </c>
      <c r="J110" s="76">
        <v>1.7</v>
      </c>
      <c r="K110" s="76">
        <v>1.2</v>
      </c>
      <c r="L110" s="76">
        <v>1.6</v>
      </c>
      <c r="M110" s="76">
        <v>1.3</v>
      </c>
    </row>
    <row r="111" spans="1:13" s="243" customFormat="1" x14ac:dyDescent="0.25">
      <c r="A111" s="290" t="s">
        <v>175</v>
      </c>
      <c r="B111" s="300" t="s">
        <v>9</v>
      </c>
      <c r="C111" s="232" t="s">
        <v>93</v>
      </c>
      <c r="D111" s="232" t="s">
        <v>93</v>
      </c>
      <c r="E111" s="232" t="s">
        <v>93</v>
      </c>
      <c r="F111" s="76">
        <v>80</v>
      </c>
      <c r="G111" s="76">
        <v>50</v>
      </c>
      <c r="H111" s="76">
        <v>70</v>
      </c>
      <c r="I111" s="76">
        <v>70</v>
      </c>
      <c r="J111" s="76">
        <v>69</v>
      </c>
      <c r="K111" s="76">
        <v>84</v>
      </c>
      <c r="L111" s="76">
        <v>38</v>
      </c>
      <c r="M111" s="76">
        <v>33</v>
      </c>
    </row>
    <row r="112" spans="1:13" s="61" customFormat="1" x14ac:dyDescent="0.25">
      <c r="A112" s="114" t="s">
        <v>47</v>
      </c>
      <c r="B112" s="177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</row>
    <row r="113" spans="1:13" s="61" customFormat="1" x14ac:dyDescent="0.25">
      <c r="A113" s="289" t="s">
        <v>50</v>
      </c>
      <c r="B113" s="178" t="s">
        <v>181</v>
      </c>
      <c r="C113" s="232" t="s">
        <v>93</v>
      </c>
      <c r="D113" s="232" t="s">
        <v>93</v>
      </c>
      <c r="E113" s="75">
        <f>728/1000</f>
        <v>0.72799999999999998</v>
      </c>
      <c r="F113" s="75">
        <f>625/1000</f>
        <v>0.625</v>
      </c>
      <c r="G113" s="75">
        <f>625/1000</f>
        <v>0.625</v>
      </c>
      <c r="H113" s="75">
        <f>728/1000</f>
        <v>0.72799999999999998</v>
      </c>
      <c r="I113" s="75">
        <f>771/1000</f>
        <v>0.77100000000000002</v>
      </c>
      <c r="J113" s="75">
        <f>899/1000</f>
        <v>0.89900000000000002</v>
      </c>
      <c r="K113" s="75">
        <f>988/1000</f>
        <v>0.98799999999999999</v>
      </c>
      <c r="L113" s="75">
        <f>961/1000</f>
        <v>0.96099999999999997</v>
      </c>
      <c r="M113" s="75">
        <v>0.96099999999999997</v>
      </c>
    </row>
    <row r="114" spans="1:13" s="61" customFormat="1" x14ac:dyDescent="0.25">
      <c r="A114" s="289" t="s">
        <v>51</v>
      </c>
      <c r="B114" s="187" t="s">
        <v>9</v>
      </c>
      <c r="C114" s="232" t="s">
        <v>93</v>
      </c>
      <c r="D114" s="232" t="s">
        <v>93</v>
      </c>
      <c r="E114" s="75">
        <f t="shared" ref="E114:J114" si="5">E115+E116+E117</f>
        <v>21.926500000000001</v>
      </c>
      <c r="F114" s="75">
        <f t="shared" si="5"/>
        <v>19.448800000000002</v>
      </c>
      <c r="G114" s="75">
        <f t="shared" si="5"/>
        <v>19.392600000000002</v>
      </c>
      <c r="H114" s="75">
        <f t="shared" si="5"/>
        <v>20.087399999999999</v>
      </c>
      <c r="I114" s="75">
        <f t="shared" si="5"/>
        <v>22.506899999999998</v>
      </c>
      <c r="J114" s="75">
        <f t="shared" si="5"/>
        <v>25.913800000000002</v>
      </c>
      <c r="K114" s="75">
        <f>K115+K116+K117</f>
        <v>30.2592</v>
      </c>
      <c r="L114" s="75">
        <f>L115+L116+L117</f>
        <v>30.5595</v>
      </c>
      <c r="M114" s="75">
        <v>11.4</v>
      </c>
    </row>
    <row r="115" spans="1:13" s="243" customFormat="1" x14ac:dyDescent="0.25">
      <c r="A115" s="290" t="s">
        <v>1</v>
      </c>
      <c r="B115" s="300" t="s">
        <v>9</v>
      </c>
      <c r="C115" s="232" t="s">
        <v>93</v>
      </c>
      <c r="D115" s="232" t="s">
        <v>93</v>
      </c>
      <c r="E115" s="76">
        <f>0.5/1000</f>
        <v>5.0000000000000001E-4</v>
      </c>
      <c r="F115" s="76">
        <f>0.5/1000</f>
        <v>5.0000000000000001E-4</v>
      </c>
      <c r="G115" s="76">
        <f>66.6/1000</f>
        <v>6.6599999999999993E-2</v>
      </c>
      <c r="H115" s="76">
        <f>0.4/1000</f>
        <v>4.0000000000000002E-4</v>
      </c>
      <c r="I115" s="76">
        <f>0.4/1000</f>
        <v>4.0000000000000002E-4</v>
      </c>
      <c r="J115" s="76">
        <f>0.5/1000</f>
        <v>5.0000000000000001E-4</v>
      </c>
      <c r="K115" s="76">
        <f>0.6/1000</f>
        <v>5.9999999999999995E-4</v>
      </c>
      <c r="L115" s="76">
        <f>0.5/1000</f>
        <v>5.0000000000000001E-4</v>
      </c>
      <c r="M115" s="76">
        <v>31</v>
      </c>
    </row>
    <row r="116" spans="1:13" s="243" customFormat="1" x14ac:dyDescent="0.25">
      <c r="A116" s="291" t="s">
        <v>176</v>
      </c>
      <c r="B116" s="300" t="s">
        <v>9</v>
      </c>
      <c r="C116" s="232" t="s">
        <v>93</v>
      </c>
      <c r="D116" s="232" t="s">
        <v>93</v>
      </c>
      <c r="E116" s="76">
        <f>21879/1000</f>
        <v>21.879000000000001</v>
      </c>
      <c r="F116" s="76">
        <f>19420/1000</f>
        <v>19.420000000000002</v>
      </c>
      <c r="G116" s="76">
        <f>19281/1000</f>
        <v>19.280999999999999</v>
      </c>
      <c r="H116" s="76">
        <f>20051/1000</f>
        <v>20.050999999999998</v>
      </c>
      <c r="I116" s="76">
        <f>22457/1000</f>
        <v>22.457000000000001</v>
      </c>
      <c r="J116" s="76">
        <f>25853/1000</f>
        <v>25.853000000000002</v>
      </c>
      <c r="K116" s="76">
        <f>30189/1000</f>
        <v>30.189</v>
      </c>
      <c r="L116" s="76">
        <f>30497/1000</f>
        <v>30.497</v>
      </c>
      <c r="M116" s="76">
        <v>5.0000000000000001E-4</v>
      </c>
    </row>
    <row r="117" spans="1:13" s="243" customFormat="1" x14ac:dyDescent="0.25">
      <c r="A117" s="290" t="s">
        <v>177</v>
      </c>
      <c r="B117" s="300" t="s">
        <v>9</v>
      </c>
      <c r="C117" s="232" t="s">
        <v>93</v>
      </c>
      <c r="D117" s="232" t="s">
        <v>93</v>
      </c>
      <c r="E117" s="76">
        <f>47/1000</f>
        <v>4.7E-2</v>
      </c>
      <c r="F117" s="76">
        <f>28.3/1000</f>
        <v>2.8300000000000002E-2</v>
      </c>
      <c r="G117" s="76">
        <f>45/1000</f>
        <v>4.4999999999999998E-2</v>
      </c>
      <c r="H117" s="76">
        <f>36/1000</f>
        <v>3.5999999999999997E-2</v>
      </c>
      <c r="I117" s="76">
        <f>49.5/1000</f>
        <v>4.9500000000000002E-2</v>
      </c>
      <c r="J117" s="244">
        <f>60.3/1000</f>
        <v>6.0299999999999999E-2</v>
      </c>
      <c r="K117" s="244">
        <f>69.6/1000</f>
        <v>6.9599999999999995E-2</v>
      </c>
      <c r="L117" s="244">
        <f>62/1000</f>
        <v>6.2E-2</v>
      </c>
      <c r="M117" s="244">
        <v>30.9</v>
      </c>
    </row>
    <row r="118" spans="1:13" s="61" customFormat="1" x14ac:dyDescent="0.25">
      <c r="A118" s="289" t="s">
        <v>52</v>
      </c>
      <c r="B118" s="178" t="s">
        <v>179</v>
      </c>
      <c r="C118" s="232" t="s">
        <v>93</v>
      </c>
      <c r="D118" s="232" t="s">
        <v>93</v>
      </c>
      <c r="E118" s="75">
        <v>9.9</v>
      </c>
      <c r="F118" s="75">
        <v>11.5</v>
      </c>
      <c r="G118" s="75">
        <v>10.9</v>
      </c>
      <c r="H118" s="75">
        <v>10.4</v>
      </c>
      <c r="I118" s="75">
        <v>10.9</v>
      </c>
      <c r="J118" s="75">
        <v>11.1</v>
      </c>
      <c r="K118" s="75">
        <v>11.8</v>
      </c>
      <c r="L118" s="75">
        <v>11.5</v>
      </c>
      <c r="M118" s="75">
        <v>6.2E-2</v>
      </c>
    </row>
    <row r="119" spans="1:13" s="61" customFormat="1" x14ac:dyDescent="0.25">
      <c r="A119" s="114" t="s">
        <v>48</v>
      </c>
      <c r="B119" s="177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</row>
    <row r="120" spans="1:13" s="61" customFormat="1" x14ac:dyDescent="0.25">
      <c r="A120" s="289" t="s">
        <v>45</v>
      </c>
      <c r="B120" s="187" t="s">
        <v>8</v>
      </c>
      <c r="C120" s="245">
        <v>31.5</v>
      </c>
      <c r="D120" s="245">
        <v>15.1</v>
      </c>
      <c r="E120" s="245">
        <v>9.9</v>
      </c>
      <c r="F120" s="245">
        <v>22</v>
      </c>
      <c r="G120" s="245">
        <v>30.8</v>
      </c>
      <c r="H120" s="245">
        <v>16.5</v>
      </c>
      <c r="I120" s="245">
        <v>7</v>
      </c>
      <c r="J120" s="245">
        <v>5.5</v>
      </c>
      <c r="K120" s="245">
        <v>2.8</v>
      </c>
      <c r="L120" s="245">
        <v>5.7</v>
      </c>
      <c r="M120" s="245">
        <v>5.0999999999999996</v>
      </c>
    </row>
    <row r="121" spans="1:13" s="61" customFormat="1" x14ac:dyDescent="0.25">
      <c r="A121" s="289" t="s">
        <v>53</v>
      </c>
      <c r="B121" s="187" t="s">
        <v>8</v>
      </c>
      <c r="C121" s="245">
        <v>30.9</v>
      </c>
      <c r="D121" s="245">
        <v>14.5</v>
      </c>
      <c r="E121" s="245">
        <v>9.4</v>
      </c>
      <c r="F121" s="245">
        <v>21.3</v>
      </c>
      <c r="G121" s="245">
        <v>29.8</v>
      </c>
      <c r="H121" s="245">
        <v>15.7</v>
      </c>
      <c r="I121" s="245">
        <v>0.8</v>
      </c>
      <c r="J121" s="245">
        <v>0.8</v>
      </c>
      <c r="K121" s="245">
        <v>1.1000000000000001</v>
      </c>
      <c r="L121" s="245">
        <v>1.3</v>
      </c>
      <c r="M121" s="245">
        <v>1.2</v>
      </c>
    </row>
    <row r="122" spans="1:13" s="61" customFormat="1" x14ac:dyDescent="0.25">
      <c r="A122" s="114" t="s">
        <v>96</v>
      </c>
      <c r="B122" s="177"/>
      <c r="C122" s="81"/>
      <c r="D122" s="81"/>
      <c r="E122" s="81"/>
      <c r="F122" s="81"/>
      <c r="G122" s="81"/>
      <c r="H122" s="81"/>
      <c r="I122" s="81"/>
      <c r="J122" s="328"/>
      <c r="K122" s="328"/>
      <c r="L122" s="328"/>
      <c r="M122" s="328"/>
    </row>
    <row r="123" spans="1:13" s="61" customFormat="1" x14ac:dyDescent="0.25">
      <c r="A123" s="289" t="s">
        <v>54</v>
      </c>
      <c r="B123" s="187" t="s">
        <v>14</v>
      </c>
      <c r="C123" s="232" t="s">
        <v>93</v>
      </c>
      <c r="D123" s="232" t="s">
        <v>93</v>
      </c>
      <c r="E123" s="232" t="s">
        <v>93</v>
      </c>
      <c r="F123" s="246">
        <v>181</v>
      </c>
      <c r="G123" s="246">
        <v>164</v>
      </c>
      <c r="H123" s="246">
        <v>165</v>
      </c>
      <c r="I123" s="246">
        <v>180</v>
      </c>
      <c r="J123" s="246">
        <v>182</v>
      </c>
      <c r="K123" s="75">
        <v>209</v>
      </c>
      <c r="L123" s="75">
        <v>195</v>
      </c>
      <c r="M123" s="247">
        <v>203</v>
      </c>
    </row>
    <row r="124" spans="1:13" s="61" customFormat="1" x14ac:dyDescent="0.25">
      <c r="A124" s="289" t="s">
        <v>55</v>
      </c>
      <c r="B124" s="187" t="s">
        <v>14</v>
      </c>
      <c r="C124" s="232" t="s">
        <v>93</v>
      </c>
      <c r="D124" s="232" t="s">
        <v>93</v>
      </c>
      <c r="E124" s="232" t="s">
        <v>93</v>
      </c>
      <c r="F124" s="246">
        <v>124</v>
      </c>
      <c r="G124" s="246">
        <v>122</v>
      </c>
      <c r="H124" s="246">
        <v>122</v>
      </c>
      <c r="I124" s="246">
        <v>130</v>
      </c>
      <c r="J124" s="246">
        <v>145</v>
      </c>
      <c r="K124" s="75">
        <v>150</v>
      </c>
      <c r="L124" s="75">
        <v>142</v>
      </c>
      <c r="M124" s="247">
        <v>141</v>
      </c>
    </row>
    <row r="125" spans="1:13" s="61" customFormat="1" x14ac:dyDescent="0.25">
      <c r="A125" s="289" t="s">
        <v>56</v>
      </c>
      <c r="B125" s="187" t="s">
        <v>14</v>
      </c>
      <c r="C125" s="232" t="s">
        <v>93</v>
      </c>
      <c r="D125" s="232" t="s">
        <v>93</v>
      </c>
      <c r="E125" s="232" t="s">
        <v>93</v>
      </c>
      <c r="F125" s="246">
        <v>201</v>
      </c>
      <c r="G125" s="246">
        <v>203</v>
      </c>
      <c r="H125" s="246">
        <v>198</v>
      </c>
      <c r="I125" s="246">
        <v>225</v>
      </c>
      <c r="J125" s="246">
        <v>235</v>
      </c>
      <c r="K125" s="75">
        <v>327</v>
      </c>
      <c r="L125" s="75">
        <v>230</v>
      </c>
      <c r="M125" s="247">
        <v>221</v>
      </c>
    </row>
    <row r="126" spans="1:13" s="61" customFormat="1" x14ac:dyDescent="0.25">
      <c r="A126" s="114" t="s">
        <v>151</v>
      </c>
      <c r="B126" s="177"/>
      <c r="C126" s="81"/>
      <c r="D126" s="81"/>
      <c r="E126" s="81"/>
      <c r="F126" s="81"/>
      <c r="G126" s="81"/>
      <c r="H126" s="81"/>
      <c r="I126" s="81"/>
      <c r="J126" s="81"/>
      <c r="K126" s="328"/>
      <c r="L126" s="328"/>
      <c r="M126" s="328"/>
    </row>
    <row r="127" spans="1:13" s="61" customFormat="1" x14ac:dyDescent="0.25">
      <c r="A127" s="128" t="s">
        <v>87</v>
      </c>
      <c r="B127" s="187" t="s">
        <v>13</v>
      </c>
      <c r="C127" s="248">
        <v>2.7</v>
      </c>
      <c r="D127" s="248">
        <v>3.36</v>
      </c>
      <c r="E127" s="248">
        <v>2.5</v>
      </c>
      <c r="F127" s="248">
        <v>3</v>
      </c>
      <c r="G127" s="248">
        <v>3</v>
      </c>
      <c r="H127" s="248">
        <v>3</v>
      </c>
      <c r="I127" s="248">
        <v>2.7</v>
      </c>
      <c r="J127" s="245">
        <v>1</v>
      </c>
      <c r="K127" s="245">
        <v>0.7</v>
      </c>
      <c r="L127" s="245">
        <v>2.7</v>
      </c>
      <c r="M127" s="245">
        <v>3.5</v>
      </c>
    </row>
    <row r="128" spans="1:13" s="61" customFormat="1" x14ac:dyDescent="0.25">
      <c r="A128" s="128"/>
      <c r="B128" s="181"/>
      <c r="C128" s="59"/>
      <c r="D128" s="59"/>
      <c r="E128" s="59"/>
      <c r="F128" s="59"/>
      <c r="G128" s="59"/>
      <c r="H128" s="59"/>
      <c r="I128" s="59"/>
      <c r="J128" s="60"/>
      <c r="K128" s="60"/>
    </row>
    <row r="129" spans="1:13" s="61" customFormat="1" x14ac:dyDescent="0.25">
      <c r="A129" s="113" t="s">
        <v>165</v>
      </c>
      <c r="B129" s="303"/>
      <c r="C129" s="90"/>
      <c r="D129" s="90"/>
      <c r="E129" s="90"/>
      <c r="F129" s="90"/>
      <c r="G129" s="329"/>
      <c r="H129" s="329"/>
      <c r="I129" s="329"/>
      <c r="J129" s="329"/>
      <c r="K129" s="329"/>
      <c r="L129" s="329"/>
      <c r="M129" s="329"/>
    </row>
    <row r="130" spans="1:13" s="61" customFormat="1" x14ac:dyDescent="0.25">
      <c r="A130" s="128" t="s">
        <v>16</v>
      </c>
      <c r="B130" s="131" t="s">
        <v>12</v>
      </c>
      <c r="C130" s="249">
        <v>30.37</v>
      </c>
      <c r="D130" s="249">
        <v>29.39</v>
      </c>
      <c r="E130" s="249">
        <v>31.093</v>
      </c>
      <c r="F130" s="249">
        <v>31.847999999999999</v>
      </c>
      <c r="G130" s="249">
        <v>38.421700000000001</v>
      </c>
      <c r="H130" s="249">
        <v>60.957900000000002</v>
      </c>
      <c r="I130" s="249">
        <v>67.034899999999993</v>
      </c>
      <c r="J130" s="249">
        <v>58.352899999999998</v>
      </c>
      <c r="K130" s="249">
        <v>62.707799999999999</v>
      </c>
      <c r="L130" s="250">
        <v>64.736199999999997</v>
      </c>
      <c r="M130" s="250">
        <v>72.150000000000006</v>
      </c>
    </row>
    <row r="131" spans="1:13" s="61" customFormat="1" x14ac:dyDescent="0.25">
      <c r="A131" s="128"/>
      <c r="B131" s="131"/>
      <c r="C131" s="24"/>
      <c r="D131" s="24"/>
      <c r="E131" s="24"/>
      <c r="F131" s="24"/>
      <c r="G131" s="24"/>
      <c r="H131" s="24"/>
      <c r="I131" s="24"/>
      <c r="J131" s="24"/>
      <c r="K131" s="24"/>
    </row>
    <row r="132" spans="1:13" x14ac:dyDescent="0.25">
      <c r="A132" s="46" t="s">
        <v>129</v>
      </c>
      <c r="B132" s="304"/>
    </row>
    <row r="133" spans="1:13" ht="54.75" customHeight="1" x14ac:dyDescent="0.25">
      <c r="A133" s="272" t="s">
        <v>127</v>
      </c>
      <c r="B133" s="305" t="s">
        <v>128</v>
      </c>
    </row>
    <row r="134" spans="1:13" ht="39" x14ac:dyDescent="0.25">
      <c r="A134" s="78" t="s">
        <v>11</v>
      </c>
      <c r="B134" s="86" t="s">
        <v>195</v>
      </c>
    </row>
    <row r="135" spans="1:13" ht="38.25" customHeight="1" x14ac:dyDescent="0.25">
      <c r="A135" s="96" t="s">
        <v>229</v>
      </c>
      <c r="B135" s="86" t="s">
        <v>196</v>
      </c>
    </row>
    <row r="136" spans="1:13" ht="51.75" x14ac:dyDescent="0.25">
      <c r="A136" s="273" t="s">
        <v>7</v>
      </c>
      <c r="B136" s="306" t="s">
        <v>159</v>
      </c>
    </row>
    <row r="137" spans="1:13" x14ac:dyDescent="0.25">
      <c r="A137" s="274" t="s">
        <v>39</v>
      </c>
      <c r="B137" s="307" t="s">
        <v>160</v>
      </c>
    </row>
    <row r="138" spans="1:13" ht="39" x14ac:dyDescent="0.25">
      <c r="A138" s="273" t="s">
        <v>3</v>
      </c>
      <c r="B138" s="308" t="s">
        <v>195</v>
      </c>
    </row>
    <row r="139" spans="1:13" x14ac:dyDescent="0.25">
      <c r="A139" s="2"/>
      <c r="B139" s="55"/>
    </row>
    <row r="140" spans="1:13" x14ac:dyDescent="0.25">
      <c r="A140" s="251" t="s">
        <v>38</v>
      </c>
      <c r="B140" s="252"/>
      <c r="C140" s="252"/>
      <c r="D140" s="252"/>
      <c r="E140" s="252"/>
      <c r="F140" s="252"/>
      <c r="G140" s="252"/>
      <c r="H140" s="252"/>
      <c r="I140" s="252"/>
      <c r="J140" s="51"/>
      <c r="K140" s="51"/>
    </row>
    <row r="141" spans="1:13" s="99" customFormat="1" x14ac:dyDescent="0.25">
      <c r="A141" s="65" t="s">
        <v>150</v>
      </c>
      <c r="B141" s="65"/>
      <c r="C141" s="65"/>
      <c r="D141" s="65"/>
      <c r="E141" s="65"/>
      <c r="F141" s="65"/>
      <c r="G141" s="65"/>
      <c r="H141" s="65"/>
      <c r="I141" s="65"/>
      <c r="J141" s="253"/>
      <c r="K141" s="253"/>
    </row>
    <row r="142" spans="1:13" s="99" customFormat="1" ht="48.75" customHeight="1" x14ac:dyDescent="0.25">
      <c r="A142" s="254" t="s">
        <v>206</v>
      </c>
      <c r="B142" s="65"/>
      <c r="C142" s="65"/>
      <c r="D142" s="65"/>
      <c r="E142" s="65"/>
      <c r="F142" s="65"/>
      <c r="G142" s="65"/>
      <c r="H142" s="65"/>
      <c r="I142" s="65"/>
      <c r="J142" s="253"/>
      <c r="K142" s="253"/>
    </row>
    <row r="143" spans="1:13" s="99" customFormat="1" x14ac:dyDescent="0.25">
      <c r="A143" s="64" t="s">
        <v>225</v>
      </c>
      <c r="B143" s="69"/>
      <c r="C143" s="70"/>
      <c r="D143" s="70"/>
      <c r="E143" s="70"/>
      <c r="F143" s="70"/>
      <c r="G143" s="70"/>
      <c r="H143" s="68"/>
      <c r="I143" s="68"/>
      <c r="J143" s="54"/>
      <c r="K143" s="54"/>
    </row>
    <row r="144" spans="1:13" s="99" customFormat="1" x14ac:dyDescent="0.25">
      <c r="A144" s="64" t="s">
        <v>226</v>
      </c>
      <c r="B144" s="69"/>
      <c r="C144" s="70"/>
      <c r="D144" s="70"/>
      <c r="E144" s="70"/>
      <c r="F144" s="70"/>
      <c r="G144" s="70"/>
      <c r="H144" s="68"/>
      <c r="I144" s="68"/>
      <c r="J144" s="54"/>
      <c r="K144" s="54"/>
    </row>
    <row r="145" spans="1:11" s="99" customFormat="1" x14ac:dyDescent="0.25">
      <c r="A145" s="64" t="s">
        <v>191</v>
      </c>
      <c r="B145" s="69"/>
      <c r="C145" s="70"/>
      <c r="D145" s="70"/>
      <c r="E145" s="70"/>
      <c r="F145" s="70"/>
      <c r="G145" s="70"/>
      <c r="H145" s="68"/>
      <c r="I145" s="68"/>
      <c r="J145" s="54"/>
      <c r="K145" s="54"/>
    </row>
    <row r="146" spans="1:11" s="99" customFormat="1" x14ac:dyDescent="0.25">
      <c r="A146" s="87"/>
      <c r="B146" s="87"/>
      <c r="C146" s="87"/>
      <c r="D146" s="87"/>
      <c r="E146" s="87"/>
      <c r="F146" s="87"/>
      <c r="G146" s="87"/>
      <c r="H146" s="87"/>
      <c r="I146" s="87"/>
    </row>
    <row r="147" spans="1:11" x14ac:dyDescent="0.25">
      <c r="A147" s="48" t="s">
        <v>107</v>
      </c>
    </row>
    <row r="148" spans="1:11" x14ac:dyDescent="0.25">
      <c r="A148" s="49" t="s">
        <v>57</v>
      </c>
    </row>
    <row r="149" spans="1:11" x14ac:dyDescent="0.25">
      <c r="A149" s="50" t="s">
        <v>59</v>
      </c>
    </row>
    <row r="150" spans="1:11" x14ac:dyDescent="0.25">
      <c r="A150" s="49" t="s">
        <v>121</v>
      </c>
    </row>
    <row r="151" spans="1:11" x14ac:dyDescent="0.25">
      <c r="A151" s="49" t="s">
        <v>122</v>
      </c>
      <c r="B151" s="334"/>
      <c r="C151" s="335"/>
      <c r="D151" s="335"/>
      <c r="E151" s="335"/>
      <c r="F151" s="335"/>
      <c r="G151" s="335"/>
      <c r="H151" s="335"/>
      <c r="I151" s="335"/>
    </row>
    <row r="152" spans="1:11" x14ac:dyDescent="0.25">
      <c r="A152" s="49" t="s">
        <v>123</v>
      </c>
      <c r="B152" s="334"/>
      <c r="C152" s="335"/>
      <c r="D152" s="335"/>
      <c r="E152" s="335"/>
      <c r="F152" s="335"/>
      <c r="G152" s="335"/>
      <c r="H152" s="335"/>
      <c r="I152" s="335"/>
    </row>
    <row r="153" spans="1:11" x14ac:dyDescent="0.25">
      <c r="A153" s="51"/>
    </row>
    <row r="159" spans="1:11" x14ac:dyDescent="0.2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</row>
    <row r="160" spans="1:11" x14ac:dyDescent="0.2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</row>
    <row r="161" spans="1:11" x14ac:dyDescent="0.2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</row>
    <row r="162" spans="1:11" x14ac:dyDescent="0.2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</row>
    <row r="163" spans="1:11" x14ac:dyDescent="0.2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</row>
    <row r="164" spans="1:11" x14ac:dyDescent="0.2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</row>
    <row r="165" spans="1:11" x14ac:dyDescent="0.2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</row>
    <row r="166" spans="1:11" x14ac:dyDescent="0.2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</row>
    <row r="167" spans="1:11" x14ac:dyDescent="0.2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</row>
  </sheetData>
  <mergeCells count="34">
    <mergeCell ref="A1:A3"/>
    <mergeCell ref="B1:B3"/>
    <mergeCell ref="C1:C3"/>
    <mergeCell ref="D1:D3"/>
    <mergeCell ref="L1:L3"/>
    <mergeCell ref="H1:H3"/>
    <mergeCell ref="I1:I3"/>
    <mergeCell ref="J1:J3"/>
    <mergeCell ref="K1:K3"/>
    <mergeCell ref="G1:G3"/>
    <mergeCell ref="E1:E3"/>
    <mergeCell ref="F1:F3"/>
    <mergeCell ref="B152:I152"/>
    <mergeCell ref="B151:I151"/>
    <mergeCell ref="K126:M126"/>
    <mergeCell ref="G129:M129"/>
    <mergeCell ref="G67:M67"/>
    <mergeCell ref="G90:M90"/>
    <mergeCell ref="G104:M104"/>
    <mergeCell ref="G107:M107"/>
    <mergeCell ref="C83:M83"/>
    <mergeCell ref="M1:M3"/>
    <mergeCell ref="D108:M108"/>
    <mergeCell ref="J122:M122"/>
    <mergeCell ref="C27:M27"/>
    <mergeCell ref="I34:M34"/>
    <mergeCell ref="C35:M35"/>
    <mergeCell ref="I4:M4"/>
    <mergeCell ref="J5:M5"/>
    <mergeCell ref="I6:M6"/>
    <mergeCell ref="C68:M68"/>
    <mergeCell ref="C73:M73"/>
    <mergeCell ref="C78:M78"/>
    <mergeCell ref="C50:M50"/>
  </mergeCells>
  <hyperlinks>
    <hyperlink ref="A148" r:id="rId1"/>
    <hyperlink ref="A149" r:id="rId2"/>
    <hyperlink ref="A150" r:id="rId3"/>
    <hyperlink ref="A151" r:id="rId4"/>
    <hyperlink ref="A152" r:id="rId5"/>
  </hyperlinks>
  <pageMargins left="0.25" right="0.25" top="0.75" bottom="0.75" header="0.3" footer="0.3"/>
  <pageSetup paperSize="9" scale="61" fitToHeight="2" orientation="portrait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176C3"/>
    <pageSetUpPr fitToPage="1"/>
  </sheetPr>
  <dimension ref="A1:XDA361"/>
  <sheetViews>
    <sheetView showGridLines="0" zoomScaleNormal="100" zoomScaleSheetLayoutView="100" workbookViewId="0">
      <selection activeCell="A70" sqref="A70"/>
    </sheetView>
  </sheetViews>
  <sheetFormatPr defaultColWidth="9.140625" defaultRowHeight="15" zeroHeight="1" x14ac:dyDescent="0.25"/>
  <cols>
    <col min="1" max="1" width="46.85546875" style="16" customWidth="1"/>
    <col min="2" max="2" width="23.5703125" style="16" customWidth="1"/>
    <col min="3" max="10" width="8" style="16" bestFit="1" customWidth="1"/>
    <col min="11" max="11" width="7.85546875" style="16" bestFit="1" customWidth="1"/>
    <col min="12" max="13" width="8.42578125" style="16" customWidth="1"/>
    <col min="14" max="16384" width="9.140625" style="16"/>
  </cols>
  <sheetData>
    <row r="1" spans="1:13 16327:16329" s="6" customFormat="1" x14ac:dyDescent="0.25">
      <c r="A1" s="337" t="s">
        <v>131</v>
      </c>
      <c r="B1" s="338" t="s">
        <v>15</v>
      </c>
      <c r="C1" s="327">
        <v>2010</v>
      </c>
      <c r="D1" s="327">
        <v>2011</v>
      </c>
      <c r="E1" s="327">
        <v>2012</v>
      </c>
      <c r="F1" s="327">
        <v>2013</v>
      </c>
      <c r="G1" s="327">
        <v>2014</v>
      </c>
      <c r="H1" s="327">
        <v>2015</v>
      </c>
      <c r="I1" s="327">
        <v>2016</v>
      </c>
      <c r="J1" s="327">
        <v>2017</v>
      </c>
      <c r="K1" s="327">
        <v>2018</v>
      </c>
      <c r="L1" s="327">
        <v>2019</v>
      </c>
      <c r="M1" s="327">
        <v>2018</v>
      </c>
      <c r="XCY1" s="15"/>
      <c r="XCZ1" s="15"/>
      <c r="XDA1" s="15"/>
    </row>
    <row r="2" spans="1:13 16327:16329" s="6" customFormat="1" x14ac:dyDescent="0.25">
      <c r="A2" s="337"/>
      <c r="B2" s="338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XCY2" s="15"/>
      <c r="XCZ2" s="15"/>
      <c r="XDA2" s="15"/>
    </row>
    <row r="3" spans="1:13 16327:16329" s="6" customFormat="1" ht="13.5" customHeight="1" x14ac:dyDescent="0.25">
      <c r="A3" s="337"/>
      <c r="B3" s="338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XCY3" s="15"/>
      <c r="XCZ3" s="15"/>
      <c r="XDA3" s="15"/>
    </row>
    <row r="4" spans="1:13 16327:16329" s="6" customFormat="1" ht="5.25" customHeight="1" x14ac:dyDescent="0.25">
      <c r="A4" s="168"/>
      <c r="B4" s="179"/>
      <c r="C4" s="15"/>
      <c r="D4" s="15"/>
      <c r="E4" s="15"/>
      <c r="F4" s="15"/>
      <c r="G4" s="15"/>
      <c r="H4" s="15"/>
      <c r="I4" s="15"/>
      <c r="J4" s="330"/>
      <c r="K4" s="330"/>
      <c r="L4" s="330"/>
      <c r="M4" s="330"/>
      <c r="XCY4" s="15"/>
      <c r="XCZ4" s="15"/>
      <c r="XDA4" s="15"/>
    </row>
    <row r="5" spans="1:13 16327:16329" s="6" customFormat="1" x14ac:dyDescent="0.25">
      <c r="A5" s="113" t="s">
        <v>253</v>
      </c>
      <c r="B5" s="117"/>
      <c r="C5" s="91"/>
      <c r="D5" s="91"/>
      <c r="E5" s="91"/>
      <c r="F5" s="85"/>
      <c r="G5" s="85"/>
      <c r="H5" s="85"/>
      <c r="I5" s="85"/>
      <c r="J5" s="85"/>
      <c r="K5" s="85"/>
      <c r="L5" s="85"/>
      <c r="M5" s="85"/>
      <c r="XCY5" s="15"/>
      <c r="XCZ5" s="15"/>
      <c r="XDA5" s="15"/>
    </row>
    <row r="6" spans="1:13 16327:16329" s="133" customFormat="1" ht="12.75" x14ac:dyDescent="0.2">
      <c r="A6" s="114" t="s">
        <v>255</v>
      </c>
      <c r="B6" s="118"/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</row>
    <row r="7" spans="1:13 16327:16329" s="135" customFormat="1" ht="12.75" x14ac:dyDescent="0.2">
      <c r="A7" s="169" t="s">
        <v>42</v>
      </c>
      <c r="B7" s="175" t="s">
        <v>251</v>
      </c>
      <c r="C7" s="134">
        <v>80417</v>
      </c>
      <c r="D7" s="134">
        <v>78865.959999999992</v>
      </c>
      <c r="E7" s="134">
        <v>81973</v>
      </c>
      <c r="F7" s="134">
        <v>83005</v>
      </c>
      <c r="G7" s="134">
        <v>79897</v>
      </c>
      <c r="H7" s="134">
        <v>81637</v>
      </c>
      <c r="I7" s="134">
        <v>81080.611428834702</v>
      </c>
      <c r="J7" s="134">
        <f>J9+J10+J11+J12+J8</f>
        <v>77991</v>
      </c>
      <c r="K7" s="134">
        <f>K8+K9+K10+K11+K12</f>
        <v>74926</v>
      </c>
      <c r="L7" s="134">
        <f>L8+L9+L10+L11+L12</f>
        <v>72782</v>
      </c>
      <c r="M7" s="134">
        <f>M8+M9+M10+M11+M12</f>
        <v>71446.546547826176</v>
      </c>
    </row>
    <row r="8" spans="1:13 16327:16329" s="138" customFormat="1" ht="12.75" x14ac:dyDescent="0.2">
      <c r="A8" s="170" t="s">
        <v>136</v>
      </c>
      <c r="B8" s="175" t="s">
        <v>251</v>
      </c>
      <c r="C8" s="136">
        <v>53075.22</v>
      </c>
      <c r="D8" s="136">
        <v>55442.997999999992</v>
      </c>
      <c r="E8" s="136">
        <v>57627.018999999993</v>
      </c>
      <c r="F8" s="136">
        <v>58602</v>
      </c>
      <c r="G8" s="136">
        <v>56566</v>
      </c>
      <c r="H8" s="136">
        <v>57641</v>
      </c>
      <c r="I8" s="136">
        <v>57039.708783286995</v>
      </c>
      <c r="J8" s="136">
        <v>54075</v>
      </c>
      <c r="K8" s="136">
        <v>50759</v>
      </c>
      <c r="L8" s="134">
        <v>48631</v>
      </c>
      <c r="M8" s="137">
        <v>47228.776070639207</v>
      </c>
    </row>
    <row r="9" spans="1:13 16327:16329" s="138" customFormat="1" ht="12.75" x14ac:dyDescent="0.2">
      <c r="A9" s="170" t="s">
        <v>97</v>
      </c>
      <c r="B9" s="175" t="s">
        <v>251</v>
      </c>
      <c r="C9" s="136">
        <f>80417*6%</f>
        <v>4825.0199999999995</v>
      </c>
      <c r="D9" s="136">
        <f>78866*6.3%+0.4</f>
        <v>4968.9579999999996</v>
      </c>
      <c r="E9" s="136">
        <v>4918.38</v>
      </c>
      <c r="F9" s="136">
        <v>4482</v>
      </c>
      <c r="G9" s="136">
        <v>4205</v>
      </c>
      <c r="H9" s="136">
        <v>4121</v>
      </c>
      <c r="I9" s="136">
        <v>3903.6349999999998</v>
      </c>
      <c r="J9" s="136">
        <v>3835</v>
      </c>
      <c r="K9" s="136">
        <v>3527</v>
      </c>
      <c r="L9" s="134">
        <v>3417</v>
      </c>
      <c r="M9" s="137">
        <v>4257.9058022515001</v>
      </c>
    </row>
    <row r="10" spans="1:13 16327:16329" s="139" customFormat="1" ht="12.75" x14ac:dyDescent="0.2">
      <c r="A10" s="170" t="s">
        <v>80</v>
      </c>
      <c r="B10" s="175" t="s">
        <v>251</v>
      </c>
      <c r="C10" s="136">
        <f>80417*17%</f>
        <v>13670.890000000001</v>
      </c>
      <c r="D10" s="136">
        <v>14985</v>
      </c>
      <c r="E10" s="136">
        <v>15165.004999999999</v>
      </c>
      <c r="F10" s="136">
        <v>15024</v>
      </c>
      <c r="G10" s="136">
        <v>13921</v>
      </c>
      <c r="H10" s="136">
        <v>14403</v>
      </c>
      <c r="I10" s="136">
        <f>[3]ГОД!$O$139</f>
        <v>12972.967688172042</v>
      </c>
      <c r="J10" s="136">
        <v>13036</v>
      </c>
      <c r="K10" s="136">
        <v>12579</v>
      </c>
      <c r="L10" s="134">
        <v>12287</v>
      </c>
      <c r="M10" s="137">
        <v>12191.819458407934</v>
      </c>
    </row>
    <row r="11" spans="1:13 16327:16329" s="139" customFormat="1" ht="12.75" x14ac:dyDescent="0.2">
      <c r="A11" s="170" t="s">
        <v>125</v>
      </c>
      <c r="B11" s="175" t="s">
        <v>251</v>
      </c>
      <c r="C11" s="140">
        <v>501</v>
      </c>
      <c r="D11" s="140">
        <v>656</v>
      </c>
      <c r="E11" s="140">
        <v>1172</v>
      </c>
      <c r="F11" s="140">
        <v>1405</v>
      </c>
      <c r="G11" s="140">
        <v>1587.79</v>
      </c>
      <c r="H11" s="140">
        <v>1796.46</v>
      </c>
      <c r="I11" s="140">
        <v>2118.0321666666669</v>
      </c>
      <c r="J11" s="136">
        <v>2781</v>
      </c>
      <c r="K11" s="136">
        <v>3382</v>
      </c>
      <c r="L11" s="134">
        <v>3340</v>
      </c>
      <c r="M11" s="137">
        <v>2839.1555335000999</v>
      </c>
    </row>
    <row r="12" spans="1:13 16327:16329" s="139" customFormat="1" ht="12.75" x14ac:dyDescent="0.2">
      <c r="A12" s="170" t="s">
        <v>81</v>
      </c>
      <c r="B12" s="175" t="s">
        <v>251</v>
      </c>
      <c r="C12" s="136">
        <f>80417*11%</f>
        <v>8845.8700000000008</v>
      </c>
      <c r="D12" s="136">
        <f>78866*4.4%-0.1-1</f>
        <v>3469.0040000000004</v>
      </c>
      <c r="E12" s="136">
        <v>4262.5960000000005</v>
      </c>
      <c r="F12" s="136">
        <v>4897</v>
      </c>
      <c r="G12" s="136">
        <v>5205</v>
      </c>
      <c r="H12" s="136">
        <v>5472</v>
      </c>
      <c r="I12" s="136">
        <f>[3]ГОД!$O$141-[3]ГОД!$O$39-[3]ГОД!$O$44</f>
        <v>7164.2999573756724</v>
      </c>
      <c r="J12" s="136">
        <v>4264</v>
      </c>
      <c r="K12" s="136">
        <v>4679</v>
      </c>
      <c r="L12" s="134">
        <v>5107</v>
      </c>
      <c r="M12" s="137">
        <v>4928.8896830274334</v>
      </c>
    </row>
    <row r="13" spans="1:13 16327:16329" s="135" customFormat="1" ht="12.75" x14ac:dyDescent="0.2">
      <c r="A13" s="169" t="s">
        <v>75</v>
      </c>
      <c r="B13" s="175" t="s">
        <v>251</v>
      </c>
      <c r="C13" s="134">
        <v>315</v>
      </c>
      <c r="D13" s="134">
        <v>303</v>
      </c>
      <c r="E13" s="134">
        <v>315</v>
      </c>
      <c r="F13" s="134">
        <v>297</v>
      </c>
      <c r="G13" s="134">
        <v>290</v>
      </c>
      <c r="H13" s="134">
        <v>307</v>
      </c>
      <c r="I13" s="134">
        <v>311</v>
      </c>
      <c r="J13" s="134">
        <v>326</v>
      </c>
      <c r="K13" s="134">
        <v>330</v>
      </c>
      <c r="L13" s="134">
        <v>326</v>
      </c>
      <c r="M13" s="137">
        <v>323.25</v>
      </c>
    </row>
    <row r="14" spans="1:13 16327:16329" s="135" customFormat="1" ht="12.75" x14ac:dyDescent="0.2">
      <c r="A14" s="169" t="s">
        <v>76</v>
      </c>
      <c r="B14" s="175" t="s">
        <v>251</v>
      </c>
      <c r="C14" s="134">
        <v>1942</v>
      </c>
      <c r="D14" s="134">
        <v>1797</v>
      </c>
      <c r="E14" s="134">
        <v>1660</v>
      </c>
      <c r="F14" s="134">
        <v>1598</v>
      </c>
      <c r="G14" s="134">
        <v>1631</v>
      </c>
      <c r="H14" s="134">
        <v>1650</v>
      </c>
      <c r="I14" s="134">
        <v>586</v>
      </c>
      <c r="J14" s="134">
        <v>605</v>
      </c>
      <c r="K14" s="134">
        <v>617</v>
      </c>
      <c r="L14" s="134">
        <v>577</v>
      </c>
      <c r="M14" s="137">
        <v>519</v>
      </c>
    </row>
    <row r="15" spans="1:13 16327:16329" s="135" customFormat="1" ht="12.75" x14ac:dyDescent="0.2">
      <c r="A15" s="171" t="s">
        <v>77</v>
      </c>
      <c r="B15" s="175" t="s">
        <v>251</v>
      </c>
      <c r="C15" s="137">
        <v>9</v>
      </c>
      <c r="D15" s="137">
        <v>9</v>
      </c>
      <c r="E15" s="137">
        <v>9</v>
      </c>
      <c r="F15" s="137">
        <v>10</v>
      </c>
      <c r="G15" s="137">
        <v>10</v>
      </c>
      <c r="H15" s="137">
        <v>10</v>
      </c>
      <c r="I15" s="137">
        <v>10</v>
      </c>
      <c r="J15" s="137">
        <v>10</v>
      </c>
      <c r="K15" s="137">
        <v>10</v>
      </c>
      <c r="L15" s="137">
        <v>9</v>
      </c>
      <c r="M15" s="137">
        <v>10</v>
      </c>
    </row>
    <row r="16" spans="1:13 16327:16329" s="135" customFormat="1" ht="12.75" x14ac:dyDescent="0.2">
      <c r="A16" s="171" t="s">
        <v>78</v>
      </c>
      <c r="B16" s="175" t="s">
        <v>251</v>
      </c>
      <c r="C16" s="137">
        <v>24</v>
      </c>
      <c r="D16" s="137">
        <v>84</v>
      </c>
      <c r="E16" s="137">
        <v>106</v>
      </c>
      <c r="F16" s="137">
        <v>73</v>
      </c>
      <c r="G16" s="137">
        <v>15</v>
      </c>
      <c r="H16" s="137">
        <v>6</v>
      </c>
      <c r="I16" s="137">
        <v>5</v>
      </c>
      <c r="J16" s="137">
        <v>5</v>
      </c>
      <c r="K16" s="137">
        <v>5</v>
      </c>
      <c r="L16" s="137">
        <v>5</v>
      </c>
      <c r="M16" s="137">
        <v>5</v>
      </c>
    </row>
    <row r="17" spans="1:13" s="135" customFormat="1" ht="13.5" thickBot="1" x14ac:dyDescent="0.25">
      <c r="A17" s="193" t="s">
        <v>79</v>
      </c>
      <c r="B17" s="319" t="s">
        <v>251</v>
      </c>
      <c r="C17" s="194">
        <v>17</v>
      </c>
      <c r="D17" s="194">
        <v>17</v>
      </c>
      <c r="E17" s="194">
        <v>19</v>
      </c>
      <c r="F17" s="194">
        <v>15</v>
      </c>
      <c r="G17" s="194">
        <v>12</v>
      </c>
      <c r="H17" s="194">
        <f>12+2</f>
        <v>14</v>
      </c>
      <c r="I17" s="194">
        <v>13</v>
      </c>
      <c r="J17" s="194">
        <v>13</v>
      </c>
      <c r="K17" s="194">
        <v>13</v>
      </c>
      <c r="L17" s="194">
        <v>16</v>
      </c>
      <c r="M17" s="194">
        <v>15</v>
      </c>
    </row>
    <row r="18" spans="1:13" s="135" customFormat="1" ht="13.5" thickTop="1" x14ac:dyDescent="0.2">
      <c r="A18" s="172" t="s">
        <v>252</v>
      </c>
      <c r="B18" s="176" t="s">
        <v>251</v>
      </c>
      <c r="C18" s="141">
        <v>82724</v>
      </c>
      <c r="D18" s="141">
        <v>81075.959999999992</v>
      </c>
      <c r="E18" s="141">
        <v>84082</v>
      </c>
      <c r="F18" s="141">
        <v>84998</v>
      </c>
      <c r="G18" s="141">
        <v>81855</v>
      </c>
      <c r="H18" s="141">
        <v>83624</v>
      </c>
      <c r="I18" s="141">
        <v>82005.611428834702</v>
      </c>
      <c r="J18" s="141">
        <f>J7+J13+J14+J15+J16+J17</f>
        <v>78950</v>
      </c>
      <c r="K18" s="141">
        <f>K7+K13+K14+K15+K16+K17</f>
        <v>75901</v>
      </c>
      <c r="L18" s="141">
        <f>L7+L13+L14+L15+L16+L17</f>
        <v>73715</v>
      </c>
      <c r="M18" s="141">
        <f>M7+M13+M14+M15+M16+M17</f>
        <v>72318.796547826176</v>
      </c>
    </row>
    <row r="19" spans="1:13" s="135" customFormat="1" ht="12.75" x14ac:dyDescent="0.2">
      <c r="A19" s="114" t="s">
        <v>254</v>
      </c>
      <c r="B19" s="118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</row>
    <row r="20" spans="1:13" s="135" customFormat="1" ht="12.75" x14ac:dyDescent="0.2">
      <c r="A20" s="171" t="s">
        <v>153</v>
      </c>
      <c r="B20" s="175" t="s">
        <v>251</v>
      </c>
      <c r="C20" s="142" t="s">
        <v>93</v>
      </c>
      <c r="D20" s="142" t="s">
        <v>93</v>
      </c>
      <c r="E20" s="142" t="s">
        <v>93</v>
      </c>
      <c r="F20" s="142" t="s">
        <v>93</v>
      </c>
      <c r="G20" s="142" t="s">
        <v>93</v>
      </c>
      <c r="H20" s="142" t="s">
        <v>93</v>
      </c>
      <c r="I20" s="142" t="s">
        <v>93</v>
      </c>
      <c r="J20" s="142" t="s">
        <v>93</v>
      </c>
      <c r="K20" s="134">
        <v>32529</v>
      </c>
      <c r="L20" s="134">
        <v>29794.983180325024</v>
      </c>
      <c r="M20" s="137">
        <v>28109.270260430039</v>
      </c>
    </row>
    <row r="21" spans="1:13" s="135" customFormat="1" ht="12.75" x14ac:dyDescent="0.2">
      <c r="A21" s="171" t="s">
        <v>154</v>
      </c>
      <c r="B21" s="175" t="s">
        <v>251</v>
      </c>
      <c r="C21" s="142" t="s">
        <v>93</v>
      </c>
      <c r="D21" s="142" t="s">
        <v>93</v>
      </c>
      <c r="E21" s="142" t="s">
        <v>93</v>
      </c>
      <c r="F21" s="142" t="s">
        <v>93</v>
      </c>
      <c r="G21" s="142" t="s">
        <v>93</v>
      </c>
      <c r="H21" s="142" t="s">
        <v>93</v>
      </c>
      <c r="I21" s="142" t="s">
        <v>93</v>
      </c>
      <c r="J21" s="142" t="s">
        <v>93</v>
      </c>
      <c r="K21" s="134">
        <v>17787.095519083319</v>
      </c>
      <c r="L21" s="134">
        <v>18202.638791583271</v>
      </c>
      <c r="M21" s="137">
        <v>18034.844166666651</v>
      </c>
    </row>
    <row r="22" spans="1:13" s="135" customFormat="1" ht="12.75" x14ac:dyDescent="0.2">
      <c r="A22" s="171" t="s">
        <v>155</v>
      </c>
      <c r="B22" s="175" t="s">
        <v>251</v>
      </c>
      <c r="C22" s="142" t="s">
        <v>93</v>
      </c>
      <c r="D22" s="142" t="s">
        <v>93</v>
      </c>
      <c r="E22" s="142" t="s">
        <v>93</v>
      </c>
      <c r="F22" s="142" t="s">
        <v>93</v>
      </c>
      <c r="G22" s="142" t="s">
        <v>93</v>
      </c>
      <c r="H22" s="142" t="s">
        <v>93</v>
      </c>
      <c r="I22" s="142" t="s">
        <v>93</v>
      </c>
      <c r="J22" s="142" t="s">
        <v>93</v>
      </c>
      <c r="K22" s="134">
        <v>12434.4</v>
      </c>
      <c r="L22" s="134">
        <v>12608.788790483886</v>
      </c>
      <c r="M22" s="137">
        <v>12528.4023808333</v>
      </c>
    </row>
    <row r="23" spans="1:13" s="135" customFormat="1" ht="12.75" x14ac:dyDescent="0.2">
      <c r="A23" s="171" t="s">
        <v>158</v>
      </c>
      <c r="B23" s="175" t="s">
        <v>251</v>
      </c>
      <c r="C23" s="143" t="s">
        <v>93</v>
      </c>
      <c r="D23" s="143" t="s">
        <v>93</v>
      </c>
      <c r="E23" s="143" t="s">
        <v>93</v>
      </c>
      <c r="F23" s="143" t="s">
        <v>93</v>
      </c>
      <c r="G23" s="143" t="s">
        <v>93</v>
      </c>
      <c r="H23" s="143" t="s">
        <v>93</v>
      </c>
      <c r="I23" s="143" t="s">
        <v>93</v>
      </c>
      <c r="J23" s="143" t="s">
        <v>93</v>
      </c>
      <c r="K23" s="134">
        <v>6168.5408333333035</v>
      </c>
      <c r="L23" s="134">
        <v>5705.0689089166517</v>
      </c>
      <c r="M23" s="137">
        <v>5547.4130750414242</v>
      </c>
    </row>
    <row r="24" spans="1:13" s="135" customFormat="1" ht="12.75" x14ac:dyDescent="0.2">
      <c r="A24" s="171" t="s">
        <v>156</v>
      </c>
      <c r="B24" s="175" t="s">
        <v>251</v>
      </c>
      <c r="C24" s="143" t="s">
        <v>93</v>
      </c>
      <c r="D24" s="143" t="s">
        <v>93</v>
      </c>
      <c r="E24" s="143" t="s">
        <v>93</v>
      </c>
      <c r="F24" s="143" t="s">
        <v>93</v>
      </c>
      <c r="G24" s="143" t="s">
        <v>93</v>
      </c>
      <c r="H24" s="143" t="s">
        <v>93</v>
      </c>
      <c r="I24" s="143" t="s">
        <v>93</v>
      </c>
      <c r="J24" s="143" t="s">
        <v>93</v>
      </c>
      <c r="K24" s="134">
        <v>878.79333333333329</v>
      </c>
      <c r="L24" s="134">
        <v>860.62999999999988</v>
      </c>
      <c r="M24" s="137">
        <v>898.78359133332629</v>
      </c>
    </row>
    <row r="25" spans="1:13" s="135" customFormat="1" ht="12.75" x14ac:dyDescent="0.2">
      <c r="A25" s="171" t="s">
        <v>157</v>
      </c>
      <c r="B25" s="175" t="s">
        <v>251</v>
      </c>
      <c r="C25" s="143" t="s">
        <v>93</v>
      </c>
      <c r="D25" s="143" t="s">
        <v>93</v>
      </c>
      <c r="E25" s="143" t="s">
        <v>93</v>
      </c>
      <c r="F25" s="143" t="s">
        <v>93</v>
      </c>
      <c r="G25" s="143" t="s">
        <v>93</v>
      </c>
      <c r="H25" s="143" t="s">
        <v>93</v>
      </c>
      <c r="I25" s="143" t="s">
        <v>93</v>
      </c>
      <c r="J25" s="143" t="s">
        <v>93</v>
      </c>
      <c r="K25" s="134">
        <v>6102.6890997587598</v>
      </c>
      <c r="L25" s="134">
        <v>6542.8918904874163</v>
      </c>
      <c r="M25" s="137">
        <v>7200.279442084834</v>
      </c>
    </row>
    <row r="26" spans="1:13" s="5" customFormat="1" ht="12.75" x14ac:dyDescent="0.2">
      <c r="A26" s="114" t="s">
        <v>256</v>
      </c>
      <c r="B26" s="177"/>
      <c r="C26" s="81"/>
      <c r="D26" s="81"/>
      <c r="E26" s="328"/>
      <c r="F26" s="328"/>
      <c r="G26" s="328"/>
      <c r="H26" s="328"/>
      <c r="I26" s="328"/>
      <c r="J26" s="328"/>
      <c r="K26" s="328"/>
      <c r="L26" s="328"/>
      <c r="M26" s="328"/>
    </row>
    <row r="27" spans="1:13" s="5" customFormat="1" ht="12.75" x14ac:dyDescent="0.2">
      <c r="A27" s="173" t="s">
        <v>41</v>
      </c>
      <c r="B27" s="178" t="s">
        <v>0</v>
      </c>
      <c r="C27" s="320">
        <v>0.7</v>
      </c>
      <c r="D27" s="320">
        <v>0.69</v>
      </c>
      <c r="E27" s="320">
        <v>0.69</v>
      </c>
      <c r="F27" s="320">
        <v>0.7</v>
      </c>
      <c r="G27" s="320">
        <v>0.7</v>
      </c>
      <c r="H27" s="320">
        <v>0.7</v>
      </c>
      <c r="I27" s="320">
        <v>0.70799999999999996</v>
      </c>
      <c r="J27" s="320">
        <v>0.71</v>
      </c>
      <c r="K27" s="320">
        <v>0.71</v>
      </c>
      <c r="L27" s="321">
        <v>0.70872999519197744</v>
      </c>
      <c r="M27" s="322">
        <v>0.70542688776209406</v>
      </c>
    </row>
    <row r="28" spans="1:13" s="5" customFormat="1" ht="12.75" x14ac:dyDescent="0.2">
      <c r="A28" s="173" t="s">
        <v>40</v>
      </c>
      <c r="B28" s="178" t="s">
        <v>0</v>
      </c>
      <c r="C28" s="320">
        <v>0.3</v>
      </c>
      <c r="D28" s="320">
        <v>0.31</v>
      </c>
      <c r="E28" s="320">
        <v>0.31</v>
      </c>
      <c r="F28" s="320">
        <v>0.3</v>
      </c>
      <c r="G28" s="320">
        <v>0.3</v>
      </c>
      <c r="H28" s="320">
        <v>0.3</v>
      </c>
      <c r="I28" s="320">
        <v>0.29199999999999998</v>
      </c>
      <c r="J28" s="320">
        <v>0.28999999999999998</v>
      </c>
      <c r="K28" s="320">
        <v>0.28999999999999998</v>
      </c>
      <c r="L28" s="321">
        <v>0.29127000480802251</v>
      </c>
      <c r="M28" s="322">
        <v>0.294573112237906</v>
      </c>
    </row>
    <row r="29" spans="1:13" s="5" customFormat="1" ht="12.75" x14ac:dyDescent="0.2">
      <c r="A29" s="114" t="s">
        <v>257</v>
      </c>
      <c r="B29" s="82"/>
      <c r="C29" s="81"/>
      <c r="D29" s="81"/>
      <c r="E29" s="328"/>
      <c r="F29" s="328"/>
      <c r="G29" s="328"/>
      <c r="H29" s="328"/>
      <c r="I29" s="328"/>
      <c r="J29" s="328"/>
      <c r="K29" s="328"/>
      <c r="L29" s="328"/>
      <c r="M29" s="328"/>
    </row>
    <row r="30" spans="1:13" s="5" customFormat="1" ht="12.75" x14ac:dyDescent="0.2">
      <c r="A30" s="174" t="s">
        <v>275</v>
      </c>
      <c r="B30" s="180" t="s">
        <v>0</v>
      </c>
      <c r="C30" s="143" t="s">
        <v>93</v>
      </c>
      <c r="D30" s="146">
        <v>0.25900000000000001</v>
      </c>
      <c r="E30" s="146">
        <v>0.25900000000000001</v>
      </c>
      <c r="F30" s="146">
        <v>0.27400000000000002</v>
      </c>
      <c r="G30" s="146">
        <v>0.28499999999999998</v>
      </c>
      <c r="H30" s="146">
        <v>0.29699999999999999</v>
      </c>
      <c r="I30" s="146">
        <v>0.31</v>
      </c>
      <c r="J30" s="146">
        <v>0.33</v>
      </c>
      <c r="K30" s="146">
        <v>0.35199999999999998</v>
      </c>
      <c r="L30" s="146">
        <v>0.36487396112370357</v>
      </c>
      <c r="M30" s="146">
        <v>0.36672848409918268</v>
      </c>
    </row>
    <row r="31" spans="1:13" s="5" customFormat="1" ht="12.75" x14ac:dyDescent="0.2">
      <c r="A31" s="174" t="s">
        <v>276</v>
      </c>
      <c r="B31" s="180" t="s">
        <v>0</v>
      </c>
      <c r="C31" s="143" t="s">
        <v>93</v>
      </c>
      <c r="D31" s="146">
        <v>0.20100000000000001</v>
      </c>
      <c r="E31" s="146">
        <v>0.20100000000000001</v>
      </c>
      <c r="F31" s="146">
        <v>0.20100000000000001</v>
      </c>
      <c r="G31" s="146">
        <v>0.20300000000000001</v>
      </c>
      <c r="H31" s="146">
        <v>0.2</v>
      </c>
      <c r="I31" s="146">
        <v>0.19400000000000001</v>
      </c>
      <c r="J31" s="146">
        <v>0.19500000000000001</v>
      </c>
      <c r="K31" s="146">
        <v>0.189</v>
      </c>
      <c r="L31" s="146">
        <v>0.20163472765986676</v>
      </c>
      <c r="M31" s="146">
        <v>0.20163472765986676</v>
      </c>
    </row>
    <row r="32" spans="1:13" s="5" customFormat="1" ht="12.75" x14ac:dyDescent="0.2">
      <c r="A32" s="174" t="s">
        <v>277</v>
      </c>
      <c r="B32" s="180" t="s">
        <v>0</v>
      </c>
      <c r="C32" s="143" t="s">
        <v>93</v>
      </c>
      <c r="D32" s="146">
        <v>0.32600000000000001</v>
      </c>
      <c r="E32" s="146">
        <v>0.32600000000000001</v>
      </c>
      <c r="F32" s="146">
        <v>0.318</v>
      </c>
      <c r="G32" s="146">
        <v>0.308</v>
      </c>
      <c r="H32" s="146">
        <v>0.308</v>
      </c>
      <c r="I32" s="146">
        <v>0.30599999999999999</v>
      </c>
      <c r="J32" s="146">
        <v>0.28999999999999998</v>
      </c>
      <c r="K32" s="146">
        <v>0.28299999999999997</v>
      </c>
      <c r="L32" s="146">
        <v>0.25824575863726906</v>
      </c>
      <c r="M32" s="146">
        <v>0.25824575863726906</v>
      </c>
    </row>
    <row r="33" spans="1:13" s="5" customFormat="1" ht="12.75" x14ac:dyDescent="0.2">
      <c r="A33" s="171" t="s">
        <v>278</v>
      </c>
      <c r="B33" s="180" t="s">
        <v>0</v>
      </c>
      <c r="C33" s="143" t="s">
        <v>93</v>
      </c>
      <c r="D33" s="146">
        <f t="shared" ref="D33:I33" si="0">100%-D30-D31-D32</f>
        <v>0.21400000000000002</v>
      </c>
      <c r="E33" s="146">
        <f t="shared" si="0"/>
        <v>0.21400000000000002</v>
      </c>
      <c r="F33" s="146">
        <f t="shared" si="0"/>
        <v>0.20699999999999991</v>
      </c>
      <c r="G33" s="146">
        <f t="shared" si="0"/>
        <v>0.20400000000000001</v>
      </c>
      <c r="H33" s="146">
        <f t="shared" si="0"/>
        <v>0.19500000000000012</v>
      </c>
      <c r="I33" s="146">
        <f t="shared" si="0"/>
        <v>0.18999999999999995</v>
      </c>
      <c r="J33" s="146">
        <f>0.3%+19.5%</f>
        <v>0.19800000000000001</v>
      </c>
      <c r="K33" s="146">
        <f>0.3%+17.4%</f>
        <v>0.17699999999999999</v>
      </c>
      <c r="L33" s="146">
        <v>0.17524555257916066</v>
      </c>
      <c r="M33" s="146">
        <v>0.17339102960368158</v>
      </c>
    </row>
    <row r="34" spans="1:13" s="5" customFormat="1" ht="12.75" x14ac:dyDescent="0.2">
      <c r="A34" s="114" t="s">
        <v>258</v>
      </c>
      <c r="B34" s="82"/>
      <c r="C34" s="332"/>
      <c r="D34" s="332"/>
      <c r="E34" s="332"/>
      <c r="F34" s="332"/>
      <c r="G34" s="332"/>
      <c r="H34" s="332"/>
      <c r="I34" s="332"/>
      <c r="J34" s="332"/>
      <c r="K34" s="332"/>
      <c r="L34" s="332"/>
      <c r="M34" s="332"/>
    </row>
    <row r="35" spans="1:13" s="5" customFormat="1" ht="12.75" x14ac:dyDescent="0.2">
      <c r="A35" s="174" t="s">
        <v>267</v>
      </c>
      <c r="B35" s="180" t="s">
        <v>0</v>
      </c>
      <c r="C35" s="146">
        <v>0.14000000000000001</v>
      </c>
      <c r="D35" s="146">
        <v>0.126</v>
      </c>
      <c r="E35" s="146">
        <v>0.126</v>
      </c>
      <c r="F35" s="146">
        <v>0.13300000000000001</v>
      </c>
      <c r="G35" s="146">
        <v>0.13400000000000001</v>
      </c>
      <c r="H35" s="146">
        <v>0.126</v>
      </c>
      <c r="I35" s="146">
        <v>0.13100000000000001</v>
      </c>
      <c r="J35" s="146">
        <v>0.13900000000000001</v>
      </c>
      <c r="K35" s="146">
        <v>0.14199999999999999</v>
      </c>
      <c r="L35" s="146">
        <v>0.14422406526376758</v>
      </c>
      <c r="M35" s="146">
        <v>0.1496455764260112</v>
      </c>
    </row>
    <row r="36" spans="1:13" s="5" customFormat="1" ht="12.75" x14ac:dyDescent="0.2">
      <c r="A36" s="182" t="s">
        <v>269</v>
      </c>
      <c r="B36" s="180" t="s">
        <v>0</v>
      </c>
      <c r="C36" s="143" t="s">
        <v>93</v>
      </c>
      <c r="D36" s="143" t="s">
        <v>93</v>
      </c>
      <c r="E36" s="143" t="s">
        <v>93</v>
      </c>
      <c r="F36" s="143" t="s">
        <v>93</v>
      </c>
      <c r="G36" s="143" t="s">
        <v>93</v>
      </c>
      <c r="H36" s="143" t="s">
        <v>93</v>
      </c>
      <c r="I36" s="143" t="s">
        <v>93</v>
      </c>
      <c r="J36" s="147">
        <v>3.2814760428194076E-2</v>
      </c>
      <c r="K36" s="147">
        <v>3.5223003309935337E-2</v>
      </c>
      <c r="L36" s="147">
        <v>3.4595307556102406E-2</v>
      </c>
      <c r="M36" s="147">
        <v>3.604231636429292E-2</v>
      </c>
    </row>
    <row r="37" spans="1:13" s="5" customFormat="1" ht="12.75" x14ac:dyDescent="0.2">
      <c r="A37" s="174" t="s">
        <v>268</v>
      </c>
      <c r="B37" s="180" t="s">
        <v>0</v>
      </c>
      <c r="C37" s="146">
        <v>0.13</v>
      </c>
      <c r="D37" s="146">
        <v>0.13400000000000001</v>
      </c>
      <c r="E37" s="146">
        <v>0.151</v>
      </c>
      <c r="F37" s="146">
        <v>0.153</v>
      </c>
      <c r="G37" s="146">
        <v>0.158</v>
      </c>
      <c r="H37" s="146">
        <v>0.16800000000000001</v>
      </c>
      <c r="I37" s="146">
        <v>0.16900000000000001</v>
      </c>
      <c r="J37" s="146">
        <v>0.16900000000000001</v>
      </c>
      <c r="K37" s="146">
        <v>0.17299999999999999</v>
      </c>
      <c r="L37" s="146">
        <v>0.18038946104176815</v>
      </c>
      <c r="M37" s="146">
        <v>0.18865475018577121</v>
      </c>
    </row>
    <row r="38" spans="1:13" s="5" customFormat="1" ht="12.75" x14ac:dyDescent="0.2">
      <c r="A38" s="182" t="s">
        <v>269</v>
      </c>
      <c r="B38" s="180" t="s">
        <v>0</v>
      </c>
      <c r="C38" s="143" t="s">
        <v>93</v>
      </c>
      <c r="D38" s="143" t="s">
        <v>93</v>
      </c>
      <c r="E38" s="143" t="s">
        <v>93</v>
      </c>
      <c r="F38" s="143" t="s">
        <v>93</v>
      </c>
      <c r="G38" s="143" t="s">
        <v>93</v>
      </c>
      <c r="H38" s="143" t="s">
        <v>93</v>
      </c>
      <c r="I38" s="143" t="s">
        <v>93</v>
      </c>
      <c r="J38" s="147">
        <v>9.0062191779929524E-2</v>
      </c>
      <c r="K38" s="147">
        <v>9.2238679628658296E-2</v>
      </c>
      <c r="L38" s="147">
        <v>9.5349007779304384E-2</v>
      </c>
      <c r="M38" s="147">
        <v>9.8576034503993076E-2</v>
      </c>
    </row>
    <row r="39" spans="1:13" s="5" customFormat="1" ht="12.75" x14ac:dyDescent="0.2">
      <c r="A39" s="174" t="s">
        <v>270</v>
      </c>
      <c r="B39" s="180" t="s">
        <v>0</v>
      </c>
      <c r="C39" s="146">
        <v>0.73</v>
      </c>
      <c r="D39" s="146">
        <v>0.73899999999999999</v>
      </c>
      <c r="E39" s="146">
        <v>0.72299999999999998</v>
      </c>
      <c r="F39" s="146">
        <v>0.71399999999999997</v>
      </c>
      <c r="G39" s="146">
        <v>0.70799999999999996</v>
      </c>
      <c r="H39" s="146">
        <v>0.70599999999999996</v>
      </c>
      <c r="I39" s="146">
        <v>0.7</v>
      </c>
      <c r="J39" s="146">
        <v>0.69199999999999995</v>
      </c>
      <c r="K39" s="146">
        <v>0.68500000000000005</v>
      </c>
      <c r="L39" s="146">
        <v>0.67538798505269615</v>
      </c>
      <c r="M39" s="146">
        <v>0.66169967338821756</v>
      </c>
    </row>
    <row r="40" spans="1:13" s="5" customFormat="1" ht="12.75" x14ac:dyDescent="0.2">
      <c r="A40" s="182" t="s">
        <v>269</v>
      </c>
      <c r="B40" s="180" t="s">
        <v>0</v>
      </c>
      <c r="C40" s="143" t="s">
        <v>93</v>
      </c>
      <c r="D40" s="143" t="s">
        <v>93</v>
      </c>
      <c r="E40" s="143" t="s">
        <v>93</v>
      </c>
      <c r="F40" s="143" t="s">
        <v>93</v>
      </c>
      <c r="G40" s="143" t="s">
        <v>93</v>
      </c>
      <c r="H40" s="143" t="s">
        <v>93</v>
      </c>
      <c r="I40" s="148" t="s">
        <v>2</v>
      </c>
      <c r="J40" s="147">
        <v>0.15128778945890847</v>
      </c>
      <c r="K40" s="147">
        <v>0.14427195490074943</v>
      </c>
      <c r="L40" s="147">
        <v>0.14171061089481121</v>
      </c>
      <c r="M40" s="147">
        <v>0.13891224295269378</v>
      </c>
    </row>
    <row r="41" spans="1:13" s="5" customFormat="1" ht="12.75" x14ac:dyDescent="0.2">
      <c r="A41" s="114" t="s">
        <v>259</v>
      </c>
      <c r="B41" s="82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</row>
    <row r="42" spans="1:13" s="5" customFormat="1" ht="14.25" x14ac:dyDescent="0.2">
      <c r="A42" s="183" t="s">
        <v>182</v>
      </c>
      <c r="B42" s="180" t="s">
        <v>0</v>
      </c>
      <c r="C42" s="144">
        <v>8.6999999999999994E-2</v>
      </c>
      <c r="D42" s="144">
        <v>9.0999999999999998E-2</v>
      </c>
      <c r="E42" s="144">
        <v>0.11799999999999999</v>
      </c>
      <c r="F42" s="144">
        <v>0.121</v>
      </c>
      <c r="G42" s="144">
        <v>0.113</v>
      </c>
      <c r="H42" s="144">
        <v>0.107</v>
      </c>
      <c r="I42" s="144">
        <v>0.105</v>
      </c>
      <c r="J42" s="144">
        <f>[4]DLA0004!$E$20/100</f>
        <v>0.10325587815027081</v>
      </c>
      <c r="K42" s="145">
        <v>0.10195426873908016</v>
      </c>
      <c r="L42" s="145">
        <v>0.10529383339664047</v>
      </c>
      <c r="M42" s="149">
        <v>9.6740722560278394E-2</v>
      </c>
    </row>
    <row r="43" spans="1:13" s="5" customFormat="1" ht="12.75" x14ac:dyDescent="0.2">
      <c r="A43" s="183" t="s">
        <v>260</v>
      </c>
      <c r="B43" s="180" t="s">
        <v>0</v>
      </c>
      <c r="C43" s="143" t="s">
        <v>93</v>
      </c>
      <c r="D43" s="143" t="s">
        <v>93</v>
      </c>
      <c r="E43" s="143" t="s">
        <v>93</v>
      </c>
      <c r="F43" s="143" t="s">
        <v>93</v>
      </c>
      <c r="G43" s="143" t="s">
        <v>93</v>
      </c>
      <c r="H43" s="143" t="s">
        <v>93</v>
      </c>
      <c r="I43" s="143" t="s">
        <v>93</v>
      </c>
      <c r="J43" s="149">
        <v>7.6983520726962129E-2</v>
      </c>
      <c r="K43" s="149">
        <v>7.4780700058262359E-2</v>
      </c>
      <c r="L43" s="149">
        <v>8.2290669215156875E-2</v>
      </c>
      <c r="M43" s="149">
        <v>7.8E-2</v>
      </c>
    </row>
    <row r="44" spans="1:13" s="5" customFormat="1" ht="12.75" x14ac:dyDescent="0.2">
      <c r="A44" s="114" t="s">
        <v>98</v>
      </c>
      <c r="B44" s="82"/>
      <c r="C44" s="81"/>
      <c r="D44" s="328"/>
      <c r="E44" s="328"/>
      <c r="F44" s="328"/>
      <c r="G44" s="328"/>
      <c r="H44" s="328"/>
      <c r="I44" s="328"/>
      <c r="J44" s="328"/>
      <c r="K44" s="328"/>
      <c r="L44" s="328"/>
      <c r="M44" s="328"/>
    </row>
    <row r="45" spans="1:13" s="133" customFormat="1" ht="12.75" x14ac:dyDescent="0.2">
      <c r="A45" s="183" t="s">
        <v>83</v>
      </c>
      <c r="B45" s="181" t="s">
        <v>91</v>
      </c>
      <c r="C45" s="150">
        <v>55.9</v>
      </c>
      <c r="D45" s="150">
        <v>63</v>
      </c>
      <c r="E45" s="150">
        <v>68.5</v>
      </c>
      <c r="F45" s="150">
        <v>75.3</v>
      </c>
      <c r="G45" s="150">
        <v>75.400000000000006</v>
      </c>
      <c r="H45" s="150">
        <v>84.9</v>
      </c>
      <c r="I45" s="150">
        <v>94.2</v>
      </c>
      <c r="J45" s="150">
        <v>104.1</v>
      </c>
      <c r="K45" s="150">
        <v>111.6</v>
      </c>
      <c r="L45" s="150">
        <v>118.81883761525319</v>
      </c>
      <c r="M45" s="151">
        <v>131.80000000000001</v>
      </c>
    </row>
    <row r="46" spans="1:13" s="133" customFormat="1" ht="14.25" x14ac:dyDescent="0.2">
      <c r="A46" s="183" t="s">
        <v>183</v>
      </c>
      <c r="B46" s="181" t="s">
        <v>92</v>
      </c>
      <c r="C46" s="152">
        <f>C45/30.37</f>
        <v>1.8406322028317417</v>
      </c>
      <c r="D46" s="152">
        <f>D45/29.39</f>
        <v>2.1435862538278325</v>
      </c>
      <c r="E46" s="152">
        <f>E45/31.093</f>
        <v>2.2030682147107066</v>
      </c>
      <c r="F46" s="152">
        <f>F45/31.85</f>
        <v>2.3642072213500782</v>
      </c>
      <c r="G46" s="152">
        <f>G45/38.42</f>
        <v>1.9625195210827695</v>
      </c>
      <c r="H46" s="152">
        <f>H45/60.96</f>
        <v>1.3927165354330708</v>
      </c>
      <c r="I46" s="152">
        <f>I45/67.03</f>
        <v>1.4053408921378487</v>
      </c>
      <c r="J46" s="152">
        <f>J45/J74</f>
        <v>1.783973033045487</v>
      </c>
      <c r="K46" s="152">
        <f>K45/K74</f>
        <v>1.7796829102599676</v>
      </c>
      <c r="L46" s="152">
        <f>L45/L74</f>
        <v>1.8354311438615982</v>
      </c>
      <c r="M46" s="152">
        <f>M45/M74</f>
        <v>1.8267498267498268</v>
      </c>
    </row>
    <row r="47" spans="1:13" s="5" customFormat="1" ht="12.75" x14ac:dyDescent="0.2">
      <c r="A47" s="114" t="s">
        <v>84</v>
      </c>
      <c r="B47" s="82"/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</row>
    <row r="48" spans="1:13" s="5" customFormat="1" ht="12.75" x14ac:dyDescent="0.2">
      <c r="A48" s="184" t="s">
        <v>146</v>
      </c>
      <c r="B48" s="180" t="s">
        <v>0</v>
      </c>
      <c r="C48" s="143" t="s">
        <v>93</v>
      </c>
      <c r="D48" s="143" t="s">
        <v>93</v>
      </c>
      <c r="E48" s="83">
        <v>0.92</v>
      </c>
      <c r="F48" s="83">
        <v>0.93</v>
      </c>
      <c r="G48" s="83">
        <v>0.94</v>
      </c>
      <c r="H48" s="83">
        <v>0.92</v>
      </c>
      <c r="I48" s="83">
        <v>0.92</v>
      </c>
      <c r="J48" s="153">
        <v>0.8</v>
      </c>
      <c r="K48" s="83">
        <v>0.81</v>
      </c>
      <c r="L48" s="83">
        <v>0.83</v>
      </c>
      <c r="M48" s="83">
        <v>0.93700000000000006</v>
      </c>
    </row>
    <row r="49" spans="1:13" s="5" customFormat="1" ht="12.75" x14ac:dyDescent="0.2">
      <c r="A49" s="184" t="s">
        <v>261</v>
      </c>
      <c r="B49" s="180" t="s">
        <v>0</v>
      </c>
      <c r="C49" s="143" t="s">
        <v>93</v>
      </c>
      <c r="D49" s="143" t="s">
        <v>93</v>
      </c>
      <c r="E49" s="83">
        <v>0.115</v>
      </c>
      <c r="F49" s="83">
        <v>0.115</v>
      </c>
      <c r="G49" s="83">
        <v>0.115</v>
      </c>
      <c r="H49" s="83">
        <v>0.12</v>
      </c>
      <c r="I49" s="83">
        <v>0.115</v>
      </c>
      <c r="J49" s="153">
        <v>0.107</v>
      </c>
      <c r="K49" s="83">
        <v>0.108</v>
      </c>
      <c r="L49" s="83">
        <v>9.5000000000000001E-2</v>
      </c>
      <c r="M49" s="83">
        <v>8.4000000000000005E-2</v>
      </c>
    </row>
    <row r="50" spans="1:13" s="5" customFormat="1" ht="12.75" x14ac:dyDescent="0.2">
      <c r="A50" s="184" t="s">
        <v>99</v>
      </c>
      <c r="B50" s="180" t="s">
        <v>0</v>
      </c>
      <c r="C50" s="143" t="s">
        <v>93</v>
      </c>
      <c r="D50" s="143" t="s">
        <v>93</v>
      </c>
      <c r="E50" s="83">
        <v>0.84</v>
      </c>
      <c r="F50" s="83">
        <v>0.84</v>
      </c>
      <c r="G50" s="83">
        <v>0.84</v>
      </c>
      <c r="H50" s="83">
        <v>0.81</v>
      </c>
      <c r="I50" s="83">
        <v>0.86</v>
      </c>
      <c r="J50" s="153">
        <v>0.82</v>
      </c>
      <c r="K50" s="83">
        <v>0.78</v>
      </c>
      <c r="L50" s="83">
        <v>0.79</v>
      </c>
      <c r="M50" s="83">
        <v>0.78</v>
      </c>
    </row>
    <row r="51" spans="1:13" s="5" customFormat="1" ht="12.75" x14ac:dyDescent="0.2">
      <c r="A51" s="114" t="s">
        <v>82</v>
      </c>
      <c r="B51" s="8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</row>
    <row r="52" spans="1:13" s="5" customFormat="1" ht="12.75" x14ac:dyDescent="0.2">
      <c r="A52" s="173" t="s">
        <v>100</v>
      </c>
      <c r="B52" s="129" t="s">
        <v>18</v>
      </c>
      <c r="C52" s="4">
        <v>31.9</v>
      </c>
      <c r="D52" s="4">
        <v>42</v>
      </c>
      <c r="E52" s="4">
        <v>48.7</v>
      </c>
      <c r="F52" s="4">
        <v>47.9</v>
      </c>
      <c r="G52" s="4">
        <v>54.1</v>
      </c>
      <c r="H52" s="4">
        <v>63.1</v>
      </c>
      <c r="I52" s="4">
        <v>70</v>
      </c>
      <c r="J52" s="154">
        <v>95</v>
      </c>
      <c r="K52" s="155">
        <v>87.462000000000003</v>
      </c>
      <c r="L52" s="155">
        <v>91</v>
      </c>
      <c r="M52" s="155">
        <v>70.902000000000001</v>
      </c>
    </row>
    <row r="53" spans="1:13" s="5" customFormat="1" ht="14.25" x14ac:dyDescent="0.2">
      <c r="A53" s="173" t="s">
        <v>262</v>
      </c>
      <c r="B53" s="181" t="s">
        <v>13</v>
      </c>
      <c r="C53" s="4">
        <v>9.6674349687191317</v>
      </c>
      <c r="D53" s="4">
        <v>12.929567880231371</v>
      </c>
      <c r="E53" s="4">
        <v>19.319460971922943</v>
      </c>
      <c r="F53" s="4">
        <v>19.117739403453687</v>
      </c>
      <c r="G53" s="4">
        <v>17.21759500260281</v>
      </c>
      <c r="H53" s="4">
        <v>10.976049868766404</v>
      </c>
      <c r="I53" s="4">
        <v>11.338206773086677</v>
      </c>
      <c r="J53" s="4">
        <v>15.349845508963565</v>
      </c>
      <c r="K53" s="151">
        <f>1022.21/K74</f>
        <v>16.301161896925105</v>
      </c>
      <c r="L53" s="4">
        <v>17.019291847518215</v>
      </c>
      <c r="M53" s="4">
        <v>17.019291847518215</v>
      </c>
    </row>
    <row r="54" spans="1:13" s="5" customFormat="1" ht="12.75" x14ac:dyDescent="0.2">
      <c r="A54" s="114" t="s">
        <v>237</v>
      </c>
      <c r="B54" s="8"/>
      <c r="C54" s="7"/>
      <c r="D54" s="332"/>
      <c r="E54" s="332"/>
      <c r="F54" s="332"/>
      <c r="G54" s="332"/>
      <c r="H54" s="332"/>
      <c r="I54" s="332"/>
      <c r="J54" s="332"/>
      <c r="K54" s="332"/>
      <c r="L54" s="332"/>
      <c r="M54" s="332"/>
    </row>
    <row r="55" spans="1:13" s="5" customFormat="1" ht="14.25" x14ac:dyDescent="0.2">
      <c r="A55" s="173" t="s">
        <v>271</v>
      </c>
      <c r="B55" s="181" t="s">
        <v>13</v>
      </c>
      <c r="C55" s="157">
        <v>49.390846229832071</v>
      </c>
      <c r="D55" s="157">
        <v>51.990472949982987</v>
      </c>
      <c r="E55" s="157">
        <v>48.279189449983917</v>
      </c>
      <c r="F55" s="157">
        <v>46.091051805337514</v>
      </c>
      <c r="G55" s="157">
        <v>41.827173347214988</v>
      </c>
      <c r="H55" s="157">
        <v>27</v>
      </c>
      <c r="I55" s="157">
        <v>30</v>
      </c>
      <c r="J55" s="157">
        <v>33.299999999999997</v>
      </c>
      <c r="K55" s="157">
        <v>31.047619275433039</v>
      </c>
      <c r="L55" s="157">
        <v>29.464964911409698</v>
      </c>
      <c r="M55" s="157">
        <v>10.957726957726956</v>
      </c>
    </row>
    <row r="56" spans="1:13" s="5" customFormat="1" ht="12.75" x14ac:dyDescent="0.2">
      <c r="A56" s="183" t="s">
        <v>272</v>
      </c>
      <c r="B56" s="181" t="s">
        <v>13</v>
      </c>
      <c r="C56" s="157">
        <v>29.634507737899241</v>
      </c>
      <c r="D56" s="157">
        <v>35.420210956107518</v>
      </c>
      <c r="E56" s="157">
        <v>37.806497266001927</v>
      </c>
      <c r="F56" s="157">
        <v>35.416012558869703</v>
      </c>
      <c r="G56" s="157">
        <v>22.248646538261323</v>
      </c>
      <c r="H56" s="157">
        <v>14.927821522309712</v>
      </c>
      <c r="I56" s="157">
        <v>15.575115619871699</v>
      </c>
      <c r="J56" s="157">
        <v>17.065155287911999</v>
      </c>
      <c r="K56" s="157">
        <v>15.324820835685514</v>
      </c>
      <c r="L56" s="157">
        <v>14.722313504859832</v>
      </c>
      <c r="M56" s="157">
        <v>13.835657657657658</v>
      </c>
    </row>
    <row r="57" spans="1:13" s="5" customFormat="1" ht="12.75" x14ac:dyDescent="0.2">
      <c r="A57" s="173" t="s">
        <v>273</v>
      </c>
      <c r="B57" s="181" t="s">
        <v>13</v>
      </c>
      <c r="C57" s="157">
        <v>131.70892327955218</v>
      </c>
      <c r="D57" s="157">
        <v>32.494045593739365</v>
      </c>
      <c r="E57" s="157">
        <v>69.9260212286909</v>
      </c>
      <c r="F57" s="157">
        <v>49.230769230769226</v>
      </c>
      <c r="G57" s="157">
        <v>39.04216553878188</v>
      </c>
      <c r="H57" s="157">
        <v>28.051181102362204</v>
      </c>
      <c r="I57" s="157">
        <v>34.536774578546918</v>
      </c>
      <c r="J57" s="156">
        <v>94.3</v>
      </c>
      <c r="K57" s="156">
        <v>100</v>
      </c>
      <c r="L57" s="156">
        <v>5.0821642295964242</v>
      </c>
      <c r="M57" s="156">
        <v>11.434511434511434</v>
      </c>
    </row>
    <row r="58" spans="1:13" s="5" customFormat="1" ht="13.5" thickBot="1" x14ac:dyDescent="0.25">
      <c r="A58" s="195" t="s">
        <v>274</v>
      </c>
      <c r="B58" s="196" t="s">
        <v>13</v>
      </c>
      <c r="C58" s="197">
        <v>62</v>
      </c>
      <c r="D58" s="197">
        <v>84</v>
      </c>
      <c r="E58" s="197">
        <v>110</v>
      </c>
      <c r="F58" s="197">
        <v>120</v>
      </c>
      <c r="G58" s="197">
        <v>93</v>
      </c>
      <c r="H58" s="197">
        <v>71</v>
      </c>
      <c r="I58" s="197">
        <v>88</v>
      </c>
      <c r="J58" s="198">
        <v>102</v>
      </c>
      <c r="K58" s="198">
        <v>104</v>
      </c>
      <c r="L58" s="198">
        <v>98.688570613041847</v>
      </c>
      <c r="M58" s="198">
        <v>92.743977315430485</v>
      </c>
    </row>
    <row r="59" spans="1:13" s="135" customFormat="1" thickTop="1" x14ac:dyDescent="0.2">
      <c r="A59" s="190" t="s">
        <v>238</v>
      </c>
      <c r="B59" s="191" t="s">
        <v>13</v>
      </c>
      <c r="C59" s="192">
        <f>C55+C56+C57+C58</f>
        <v>272.7342772472835</v>
      </c>
      <c r="D59" s="192">
        <f>D55+D56+D57+D58</f>
        <v>203.90472949982987</v>
      </c>
      <c r="E59" s="192">
        <f>E55+E56+E57+E58</f>
        <v>266.01170794467674</v>
      </c>
      <c r="F59" s="192">
        <f>F55+F56+F57+F58</f>
        <v>250.73783359497645</v>
      </c>
      <c r="G59" s="192">
        <v>197</v>
      </c>
      <c r="H59" s="192">
        <f t="shared" ref="H59:M59" si="1">H55+H56+H57+H58</f>
        <v>140.97900262467192</v>
      </c>
      <c r="I59" s="192">
        <f t="shared" si="1"/>
        <v>168.11189019841862</v>
      </c>
      <c r="J59" s="192">
        <f t="shared" si="1"/>
        <v>246.665155287912</v>
      </c>
      <c r="K59" s="192">
        <f t="shared" si="1"/>
        <v>250.37244011111855</v>
      </c>
      <c r="L59" s="192">
        <f t="shared" si="1"/>
        <v>147.95801325890778</v>
      </c>
      <c r="M59" s="192">
        <f t="shared" si="1"/>
        <v>128.97187336532653</v>
      </c>
    </row>
    <row r="60" spans="1:13" s="5" customFormat="1" ht="12.75" x14ac:dyDescent="0.2">
      <c r="A60" s="114" t="s">
        <v>263</v>
      </c>
      <c r="B60" s="118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s="5" customFormat="1" ht="14.25" x14ac:dyDescent="0.2">
      <c r="A61" s="174" t="s">
        <v>238</v>
      </c>
      <c r="B61" s="187" t="s">
        <v>13</v>
      </c>
      <c r="C61" s="143" t="s">
        <v>93</v>
      </c>
      <c r="D61" s="143" t="s">
        <v>93</v>
      </c>
      <c r="E61" s="143" t="s">
        <v>93</v>
      </c>
      <c r="F61" s="143" t="s">
        <v>93</v>
      </c>
      <c r="G61" s="143" t="s">
        <v>93</v>
      </c>
      <c r="H61" s="79" t="s">
        <v>93</v>
      </c>
      <c r="I61" s="157">
        <v>111</v>
      </c>
      <c r="J61" s="157">
        <v>303</v>
      </c>
      <c r="K61" s="157">
        <v>207</v>
      </c>
      <c r="L61" s="157">
        <v>224</v>
      </c>
      <c r="M61" s="157">
        <v>500</v>
      </c>
    </row>
    <row r="62" spans="1:13" s="5" customFormat="1" ht="12.75" x14ac:dyDescent="0.2">
      <c r="A62" s="113" t="s">
        <v>85</v>
      </c>
      <c r="B62" s="117"/>
      <c r="C62" s="91"/>
      <c r="D62" s="331"/>
      <c r="E62" s="331"/>
      <c r="F62" s="331"/>
      <c r="G62" s="331"/>
      <c r="H62" s="331"/>
      <c r="I62" s="331"/>
      <c r="J62" s="331"/>
      <c r="K62" s="331"/>
      <c r="L62" s="331"/>
      <c r="M62" s="331"/>
    </row>
    <row r="63" spans="1:13" s="5" customFormat="1" ht="12.75" x14ac:dyDescent="0.2">
      <c r="A63" s="114" t="s">
        <v>264</v>
      </c>
      <c r="B63" s="118"/>
      <c r="C63" s="7"/>
      <c r="D63" s="7"/>
      <c r="E63" s="332"/>
      <c r="F63" s="332"/>
      <c r="G63" s="332"/>
      <c r="H63" s="332"/>
      <c r="I63" s="332"/>
      <c r="J63" s="332"/>
      <c r="K63" s="332"/>
      <c r="L63" s="332"/>
      <c r="M63" s="332"/>
    </row>
    <row r="64" spans="1:13" s="5" customFormat="1" ht="14.25" x14ac:dyDescent="0.2">
      <c r="A64" s="173" t="s">
        <v>188</v>
      </c>
      <c r="B64" s="188" t="s">
        <v>193</v>
      </c>
      <c r="C64" s="142" t="s">
        <v>93</v>
      </c>
      <c r="D64" s="142" t="s">
        <v>93</v>
      </c>
      <c r="E64" s="142" t="s">
        <v>93</v>
      </c>
      <c r="F64" s="158">
        <v>0.1</v>
      </c>
      <c r="G64" s="158">
        <v>7.0000000000000007E-2</v>
      </c>
      <c r="H64" s="158">
        <v>0.12</v>
      </c>
      <c r="I64" s="158">
        <v>0.11</v>
      </c>
      <c r="J64" s="158">
        <v>0.08</v>
      </c>
      <c r="K64" s="158">
        <v>0.05</v>
      </c>
      <c r="L64" s="158">
        <v>0.08</v>
      </c>
      <c r="M64" s="158">
        <v>0.08</v>
      </c>
    </row>
    <row r="65" spans="1:13" s="5" customFormat="1" ht="14.25" x14ac:dyDescent="0.2">
      <c r="A65" s="173" t="s">
        <v>189</v>
      </c>
      <c r="B65" s="188" t="s">
        <v>193</v>
      </c>
      <c r="C65" s="142" t="s">
        <v>93</v>
      </c>
      <c r="D65" s="142" t="s">
        <v>93</v>
      </c>
      <c r="E65" s="142" t="s">
        <v>93</v>
      </c>
      <c r="F65" s="158">
        <v>0.8</v>
      </c>
      <c r="G65" s="158">
        <v>0.48</v>
      </c>
      <c r="H65" s="158">
        <v>0.62</v>
      </c>
      <c r="I65" s="158">
        <v>0.35</v>
      </c>
      <c r="J65" s="158">
        <v>0.44</v>
      </c>
      <c r="K65" s="158">
        <v>0.23</v>
      </c>
      <c r="L65" s="158">
        <v>0.32</v>
      </c>
      <c r="M65" s="158">
        <v>0.21</v>
      </c>
    </row>
    <row r="66" spans="1:13" s="5" customFormat="1" ht="14.25" x14ac:dyDescent="0.2">
      <c r="A66" s="173" t="s">
        <v>184</v>
      </c>
      <c r="B66" s="175" t="s">
        <v>251</v>
      </c>
      <c r="C66" s="18">
        <f t="shared" ref="C66:I66" si="2">C67+C68</f>
        <v>107</v>
      </c>
      <c r="D66" s="18">
        <f t="shared" si="2"/>
        <v>116</v>
      </c>
      <c r="E66" s="18">
        <f t="shared" si="2"/>
        <v>103</v>
      </c>
      <c r="F66" s="18">
        <f t="shared" si="2"/>
        <v>106</v>
      </c>
      <c r="G66" s="18">
        <f t="shared" si="2"/>
        <v>64</v>
      </c>
      <c r="H66" s="18">
        <f t="shared" si="2"/>
        <v>88</v>
      </c>
      <c r="I66" s="18">
        <f t="shared" si="2"/>
        <v>56</v>
      </c>
      <c r="J66" s="18">
        <f>J67+J68</f>
        <v>61</v>
      </c>
      <c r="K66" s="18">
        <v>32</v>
      </c>
      <c r="L66" s="18">
        <v>44</v>
      </c>
      <c r="M66" s="18">
        <v>30</v>
      </c>
    </row>
    <row r="67" spans="1:13" s="160" customFormat="1" ht="12.75" x14ac:dyDescent="0.2">
      <c r="A67" s="185" t="s">
        <v>279</v>
      </c>
      <c r="B67" s="175" t="s">
        <v>251</v>
      </c>
      <c r="C67" s="159">
        <v>98</v>
      </c>
      <c r="D67" s="159">
        <v>106</v>
      </c>
      <c r="E67" s="159">
        <v>95</v>
      </c>
      <c r="F67" s="159">
        <v>94</v>
      </c>
      <c r="G67" s="159">
        <v>56</v>
      </c>
      <c r="H67" s="159">
        <v>74</v>
      </c>
      <c r="I67" s="159">
        <v>43</v>
      </c>
      <c r="J67" s="159">
        <v>52</v>
      </c>
      <c r="K67" s="159">
        <v>26</v>
      </c>
      <c r="L67" s="159">
        <v>35</v>
      </c>
      <c r="M67" s="18">
        <v>22</v>
      </c>
    </row>
    <row r="68" spans="1:13" s="160" customFormat="1" ht="12.75" x14ac:dyDescent="0.2">
      <c r="A68" s="185" t="s">
        <v>280</v>
      </c>
      <c r="B68" s="175" t="s">
        <v>251</v>
      </c>
      <c r="C68" s="159">
        <v>9</v>
      </c>
      <c r="D68" s="159">
        <v>10</v>
      </c>
      <c r="E68" s="159">
        <v>8</v>
      </c>
      <c r="F68" s="159">
        <v>12</v>
      </c>
      <c r="G68" s="159">
        <v>8</v>
      </c>
      <c r="H68" s="161">
        <v>14</v>
      </c>
      <c r="I68" s="161">
        <v>13</v>
      </c>
      <c r="J68" s="161">
        <v>9</v>
      </c>
      <c r="K68" s="161">
        <v>6</v>
      </c>
      <c r="L68" s="161">
        <v>9</v>
      </c>
      <c r="M68" s="161">
        <v>8</v>
      </c>
    </row>
    <row r="69" spans="1:13" s="5" customFormat="1" ht="12.75" x14ac:dyDescent="0.2">
      <c r="A69" s="173" t="s">
        <v>283</v>
      </c>
      <c r="B69" s="175" t="s">
        <v>251</v>
      </c>
      <c r="C69" s="142" t="s">
        <v>93</v>
      </c>
      <c r="D69" s="142" t="s">
        <v>93</v>
      </c>
      <c r="E69" s="142" t="s">
        <v>93</v>
      </c>
      <c r="F69" s="142" t="s">
        <v>93</v>
      </c>
      <c r="G69" s="162">
        <v>13</v>
      </c>
      <c r="H69" s="162">
        <v>19</v>
      </c>
      <c r="I69" s="163">
        <v>17</v>
      </c>
      <c r="J69" s="162">
        <v>16</v>
      </c>
      <c r="K69" s="163">
        <v>19</v>
      </c>
      <c r="L69" s="163">
        <v>9</v>
      </c>
      <c r="M69" s="163">
        <v>18</v>
      </c>
    </row>
    <row r="70" spans="1:13" s="160" customFormat="1" ht="12.75" x14ac:dyDescent="0.2">
      <c r="A70" s="185" t="s">
        <v>280</v>
      </c>
      <c r="B70" s="175" t="s">
        <v>251</v>
      </c>
      <c r="C70" s="164" t="s">
        <v>93</v>
      </c>
      <c r="D70" s="164" t="s">
        <v>93</v>
      </c>
      <c r="E70" s="164" t="s">
        <v>93</v>
      </c>
      <c r="F70" s="164" t="s">
        <v>93</v>
      </c>
      <c r="G70" s="165">
        <v>5</v>
      </c>
      <c r="H70" s="165">
        <v>5</v>
      </c>
      <c r="I70" s="166">
        <v>7</v>
      </c>
      <c r="J70" s="165">
        <v>1</v>
      </c>
      <c r="K70" s="165">
        <v>2</v>
      </c>
      <c r="L70" s="165">
        <v>1</v>
      </c>
      <c r="M70" s="166">
        <v>3</v>
      </c>
    </row>
    <row r="71" spans="1:13" x14ac:dyDescent="0.25">
      <c r="A71" s="114" t="s">
        <v>178</v>
      </c>
      <c r="B71" s="118"/>
      <c r="C71" s="7"/>
      <c r="D71" s="7"/>
      <c r="E71" s="7"/>
      <c r="F71" s="332"/>
      <c r="G71" s="332"/>
      <c r="H71" s="332"/>
      <c r="I71" s="332"/>
      <c r="J71" s="332"/>
      <c r="K71" s="332"/>
      <c r="L71" s="332"/>
      <c r="M71" s="332"/>
    </row>
    <row r="72" spans="1:13" x14ac:dyDescent="0.25">
      <c r="A72" s="186" t="s">
        <v>230</v>
      </c>
      <c r="B72" s="187" t="s">
        <v>13</v>
      </c>
      <c r="C72" s="18">
        <v>100.75732630885742</v>
      </c>
      <c r="D72" s="18">
        <v>147.77135079959169</v>
      </c>
      <c r="E72" s="18">
        <v>206.56159536828562</v>
      </c>
      <c r="F72" s="18">
        <v>128.57142857142856</v>
      </c>
      <c r="G72" s="18">
        <v>193.80530973451326</v>
      </c>
      <c r="H72" s="18">
        <v>176.31233595800524</v>
      </c>
      <c r="I72" s="18">
        <v>127.03267193793823</v>
      </c>
      <c r="J72" s="18">
        <v>149</v>
      </c>
      <c r="K72" s="18">
        <v>168</v>
      </c>
      <c r="L72" s="18">
        <v>159</v>
      </c>
      <c r="M72" s="18">
        <v>134.77477477477476</v>
      </c>
    </row>
    <row r="73" spans="1:13" s="61" customFormat="1" x14ac:dyDescent="0.25">
      <c r="A73" s="113" t="s">
        <v>165</v>
      </c>
      <c r="B73" s="117"/>
      <c r="C73" s="91"/>
      <c r="D73" s="91"/>
      <c r="E73" s="331"/>
      <c r="F73" s="331"/>
      <c r="G73" s="331"/>
      <c r="H73" s="331"/>
      <c r="I73" s="331"/>
      <c r="J73" s="331"/>
      <c r="K73" s="331"/>
      <c r="L73" s="331"/>
      <c r="M73" s="331"/>
    </row>
    <row r="74" spans="1:13" s="61" customFormat="1" x14ac:dyDescent="0.25">
      <c r="A74" s="128" t="s">
        <v>16</v>
      </c>
      <c r="B74" s="189" t="s">
        <v>12</v>
      </c>
      <c r="C74" s="24">
        <v>30.37</v>
      </c>
      <c r="D74" s="24">
        <v>29.39</v>
      </c>
      <c r="E74" s="24">
        <v>31.093</v>
      </c>
      <c r="F74" s="24">
        <v>31.847999999999999</v>
      </c>
      <c r="G74" s="24">
        <v>38.421700000000001</v>
      </c>
      <c r="H74" s="24">
        <v>60.957900000000002</v>
      </c>
      <c r="I74" s="24">
        <v>67.034899999999993</v>
      </c>
      <c r="J74" s="24">
        <v>58.352899999999998</v>
      </c>
      <c r="K74" s="24">
        <v>62.707799999999999</v>
      </c>
      <c r="L74" s="24">
        <v>64.736199999999997</v>
      </c>
      <c r="M74" s="24">
        <v>72.150000000000006</v>
      </c>
    </row>
    <row r="75" spans="1:13" x14ac:dyDescent="0.25">
      <c r="A75" s="14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</row>
    <row r="76" spans="1:13" x14ac:dyDescent="0.25">
      <c r="A76" s="63" t="s">
        <v>38</v>
      </c>
      <c r="B76" s="109"/>
      <c r="C76" s="109"/>
      <c r="D76" s="109"/>
      <c r="E76" s="109"/>
      <c r="F76" s="109"/>
      <c r="G76" s="109"/>
      <c r="H76" s="109"/>
      <c r="I76" s="18"/>
      <c r="J76" s="18"/>
      <c r="K76" s="18"/>
      <c r="L76" s="77"/>
      <c r="M76" s="77"/>
    </row>
    <row r="77" spans="1:13" x14ac:dyDescent="0.25">
      <c r="A77" s="64" t="s">
        <v>185</v>
      </c>
      <c r="B77" s="64"/>
      <c r="C77" s="65"/>
      <c r="D77" s="65"/>
      <c r="E77" s="65"/>
      <c r="F77" s="65"/>
      <c r="G77" s="65"/>
      <c r="H77" s="65"/>
      <c r="I77" s="18"/>
      <c r="J77" s="18"/>
      <c r="K77" s="18"/>
      <c r="L77" s="93"/>
      <c r="M77" s="93"/>
    </row>
    <row r="78" spans="1:13" x14ac:dyDescent="0.25">
      <c r="A78" s="66" t="s">
        <v>186</v>
      </c>
      <c r="B78" s="67"/>
      <c r="C78" s="68"/>
      <c r="D78" s="68"/>
      <c r="E78" s="68"/>
      <c r="F78" s="68"/>
      <c r="G78" s="68"/>
      <c r="H78" s="68"/>
      <c r="I78" s="18"/>
      <c r="J78" s="18"/>
      <c r="K78" s="18"/>
      <c r="L78" s="77"/>
      <c r="M78" s="77"/>
    </row>
    <row r="79" spans="1:13" x14ac:dyDescent="0.25">
      <c r="A79" s="341" t="s">
        <v>187</v>
      </c>
      <c r="B79" s="341"/>
      <c r="C79" s="341"/>
      <c r="D79" s="341"/>
      <c r="E79" s="341"/>
      <c r="F79" s="341"/>
      <c r="G79" s="341"/>
      <c r="H79" s="341"/>
      <c r="I79" s="18"/>
      <c r="J79" s="18"/>
      <c r="K79" s="18"/>
      <c r="L79" s="77"/>
      <c r="M79" s="77"/>
    </row>
    <row r="80" spans="1:13" ht="60.75" customHeight="1" x14ac:dyDescent="0.25">
      <c r="A80" s="339" t="s">
        <v>147</v>
      </c>
      <c r="B80" s="340"/>
      <c r="C80" s="65"/>
      <c r="D80" s="65"/>
      <c r="E80" s="65"/>
      <c r="F80" s="65"/>
      <c r="G80" s="65"/>
      <c r="H80" s="65"/>
      <c r="I80" s="18"/>
      <c r="J80" s="18"/>
      <c r="K80" s="18"/>
      <c r="L80" s="65"/>
      <c r="M80" s="65"/>
    </row>
    <row r="81" spans="1:13" x14ac:dyDescent="0.25">
      <c r="A81" s="343" t="s">
        <v>148</v>
      </c>
      <c r="B81" s="343"/>
      <c r="C81" s="343"/>
      <c r="D81" s="343"/>
      <c r="E81" s="343"/>
      <c r="F81" s="343"/>
      <c r="G81" s="343"/>
      <c r="H81" s="343"/>
      <c r="I81" s="18"/>
      <c r="J81" s="18"/>
      <c r="K81" s="18"/>
      <c r="L81" s="77"/>
      <c r="M81" s="77"/>
    </row>
    <row r="82" spans="1:13" x14ac:dyDescent="0.25">
      <c r="A82" s="14"/>
      <c r="B82" s="17"/>
      <c r="C82" s="18"/>
      <c r="D82" s="18"/>
      <c r="E82" s="18"/>
      <c r="F82" s="18"/>
      <c r="G82" s="18"/>
      <c r="H82" s="18"/>
      <c r="I82" s="18"/>
      <c r="J82" s="18"/>
      <c r="K82" s="18"/>
    </row>
    <row r="83" spans="1:13" x14ac:dyDescent="0.25">
      <c r="A83" s="48" t="s">
        <v>107</v>
      </c>
      <c r="B83" s="342"/>
      <c r="C83" s="342"/>
      <c r="D83" s="342"/>
      <c r="E83" s="342"/>
      <c r="F83" s="342"/>
      <c r="G83" s="342"/>
      <c r="H83" s="342"/>
      <c r="I83" s="342"/>
    </row>
    <row r="84" spans="1:13" x14ac:dyDescent="0.25">
      <c r="A84" s="52" t="s">
        <v>89</v>
      </c>
      <c r="B84" s="342"/>
      <c r="C84" s="342"/>
      <c r="D84" s="342"/>
      <c r="E84" s="342"/>
      <c r="F84" s="342"/>
      <c r="G84" s="342"/>
      <c r="H84" s="342"/>
      <c r="I84" s="342"/>
    </row>
    <row r="85" spans="1:13" x14ac:dyDescent="0.25">
      <c r="A85" s="49" t="s">
        <v>71</v>
      </c>
      <c r="B85" s="342"/>
      <c r="C85" s="342"/>
      <c r="D85" s="342"/>
      <c r="E85" s="342"/>
      <c r="F85" s="342"/>
      <c r="G85" s="342"/>
      <c r="H85" s="342"/>
      <c r="I85" s="342"/>
    </row>
    <row r="86" spans="1:13" x14ac:dyDescent="0.25">
      <c r="A86" s="49" t="s">
        <v>72</v>
      </c>
      <c r="B86" s="342"/>
      <c r="C86" s="342"/>
      <c r="D86" s="342"/>
      <c r="E86" s="342"/>
      <c r="F86" s="342"/>
      <c r="G86" s="342"/>
      <c r="H86" s="342"/>
      <c r="I86" s="342"/>
    </row>
    <row r="87" spans="1:13" x14ac:dyDescent="0.25">
      <c r="A87" s="49" t="s">
        <v>120</v>
      </c>
      <c r="B87" s="342"/>
      <c r="C87" s="342"/>
      <c r="D87" s="342"/>
      <c r="E87" s="342"/>
      <c r="F87" s="342"/>
      <c r="G87" s="342"/>
      <c r="H87" s="342"/>
      <c r="I87" s="342"/>
    </row>
    <row r="88" spans="1:13" x14ac:dyDescent="0.25">
      <c r="A88" s="49" t="s">
        <v>74</v>
      </c>
      <c r="B88" s="342"/>
      <c r="C88" s="342"/>
      <c r="D88" s="342"/>
      <c r="E88" s="342"/>
      <c r="F88" s="342"/>
      <c r="G88" s="342"/>
      <c r="H88" s="342"/>
      <c r="I88" s="342"/>
    </row>
    <row r="89" spans="1:13" x14ac:dyDescent="0.25">
      <c r="A89" s="49" t="s">
        <v>70</v>
      </c>
      <c r="B89" s="342"/>
      <c r="C89" s="342"/>
      <c r="D89" s="342"/>
      <c r="E89" s="342"/>
      <c r="F89" s="342"/>
      <c r="G89" s="342"/>
      <c r="H89" s="342"/>
      <c r="I89" s="342"/>
    </row>
    <row r="90" spans="1:13" x14ac:dyDescent="0.25">
      <c r="A90" s="52" t="s">
        <v>73</v>
      </c>
      <c r="B90" s="342"/>
      <c r="C90" s="342"/>
      <c r="D90" s="342"/>
      <c r="E90" s="342"/>
      <c r="F90" s="342"/>
      <c r="G90" s="342"/>
      <c r="H90" s="342"/>
      <c r="I90" s="342"/>
    </row>
    <row r="91" spans="1:13" x14ac:dyDescent="0.25">
      <c r="A91" s="6"/>
      <c r="J91" s="167"/>
      <c r="K91" s="167"/>
      <c r="L91" s="167"/>
      <c r="M91" s="167"/>
    </row>
    <row r="92" spans="1:13" s="109" customFormat="1" x14ac:dyDescent="0.25">
      <c r="L92" s="16"/>
      <c r="M92" s="16"/>
    </row>
    <row r="93" spans="1:13" s="65" customFormat="1" x14ac:dyDescent="0.25">
      <c r="L93" s="16"/>
      <c r="M93" s="16"/>
    </row>
    <row r="94" spans="1:13" s="65" customFormat="1" x14ac:dyDescent="0.25">
      <c r="L94" s="16"/>
      <c r="M94" s="16"/>
    </row>
    <row r="95" spans="1:13" s="65" customFormat="1" x14ac:dyDescent="0.25">
      <c r="L95" s="16"/>
      <c r="M95" s="16"/>
    </row>
    <row r="96" spans="1:13" s="65" customFormat="1" ht="53.25" customHeight="1" x14ac:dyDescent="0.25">
      <c r="L96" s="16"/>
      <c r="M96" s="16"/>
    </row>
    <row r="97" spans="12:13" s="65" customFormat="1" ht="15.75" customHeight="1" x14ac:dyDescent="0.25">
      <c r="L97" s="16"/>
      <c r="M97" s="16"/>
    </row>
    <row r="98" spans="12:13" x14ac:dyDescent="0.25"/>
    <row r="99" spans="12:13" x14ac:dyDescent="0.25"/>
    <row r="100" spans="12:13" x14ac:dyDescent="0.25"/>
    <row r="101" spans="12:13" x14ac:dyDescent="0.25"/>
    <row r="102" spans="12:13" x14ac:dyDescent="0.25"/>
    <row r="103" spans="12:13" x14ac:dyDescent="0.25"/>
    <row r="104" spans="12:13" x14ac:dyDescent="0.25"/>
    <row r="105" spans="12:13" x14ac:dyDescent="0.25"/>
    <row r="106" spans="12:13" x14ac:dyDescent="0.25"/>
    <row r="107" spans="12:13" x14ac:dyDescent="0.25"/>
    <row r="108" spans="12:13" x14ac:dyDescent="0.25"/>
    <row r="109" spans="12:13" x14ac:dyDescent="0.25"/>
    <row r="110" spans="12:13" x14ac:dyDescent="0.25"/>
    <row r="111" spans="12:13" x14ac:dyDescent="0.25"/>
    <row r="112" spans="12:13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</sheetData>
  <mergeCells count="39">
    <mergeCell ref="L1:L3"/>
    <mergeCell ref="K1:K3"/>
    <mergeCell ref="E26:M26"/>
    <mergeCell ref="B90:I90"/>
    <mergeCell ref="B83:I83"/>
    <mergeCell ref="B89:I89"/>
    <mergeCell ref="B85:I85"/>
    <mergeCell ref="B84:I84"/>
    <mergeCell ref="B86:I86"/>
    <mergeCell ref="B88:I88"/>
    <mergeCell ref="B87:I87"/>
    <mergeCell ref="A81:H81"/>
    <mergeCell ref="C47:M47"/>
    <mergeCell ref="D44:M44"/>
    <mergeCell ref="C41:M41"/>
    <mergeCell ref="C51:M51"/>
    <mergeCell ref="M1:M3"/>
    <mergeCell ref="J4:M4"/>
    <mergeCell ref="C6:M6"/>
    <mergeCell ref="C19:M19"/>
    <mergeCell ref="A80:B80"/>
    <mergeCell ref="A79:H79"/>
    <mergeCell ref="A1:A3"/>
    <mergeCell ref="G1:G3"/>
    <mergeCell ref="H1:H3"/>
    <mergeCell ref="I1:I3"/>
    <mergeCell ref="J1:J3"/>
    <mergeCell ref="B1:B3"/>
    <mergeCell ref="C1:C3"/>
    <mergeCell ref="D1:D3"/>
    <mergeCell ref="E1:E3"/>
    <mergeCell ref="F1:F3"/>
    <mergeCell ref="E29:M29"/>
    <mergeCell ref="C34:M34"/>
    <mergeCell ref="E73:M73"/>
    <mergeCell ref="D54:M54"/>
    <mergeCell ref="F71:M71"/>
    <mergeCell ref="D62:M62"/>
    <mergeCell ref="E63:M63"/>
  </mergeCells>
  <hyperlinks>
    <hyperlink ref="A84" r:id="rId1"/>
    <hyperlink ref="A85" r:id="rId2"/>
    <hyperlink ref="A86" r:id="rId3"/>
    <hyperlink ref="A87" r:id="rId4"/>
    <hyperlink ref="A88" r:id="rId5"/>
    <hyperlink ref="A90" r:id="rId6"/>
    <hyperlink ref="A89" r:id="rId7"/>
  </hyperlinks>
  <pageMargins left="0.25" right="0.25" top="0.75" bottom="0.75" header="0.3" footer="0.3"/>
  <pageSetup paperSize="9" scale="59"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2176C3"/>
    <pageSetUpPr fitToPage="1"/>
  </sheetPr>
  <dimension ref="A1:M96"/>
  <sheetViews>
    <sheetView showGridLines="0" zoomScale="85" zoomScaleNormal="85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P24" sqref="P24"/>
    </sheetView>
  </sheetViews>
  <sheetFormatPr defaultRowHeight="15" x14ac:dyDescent="0.25"/>
  <cols>
    <col min="1" max="1" width="67.140625" style="12" customWidth="1"/>
    <col min="2" max="2" width="15" style="12" customWidth="1"/>
    <col min="3" max="9" width="7" style="12" bestFit="1" customWidth="1"/>
    <col min="10" max="10" width="8.5703125" style="12" customWidth="1"/>
    <col min="11" max="13" width="7" style="12" bestFit="1" customWidth="1"/>
    <col min="14" max="16384" width="9.140625" style="16"/>
  </cols>
  <sheetData>
    <row r="1" spans="1:13" ht="14.45" customHeight="1" x14ac:dyDescent="0.25">
      <c r="A1" s="337" t="s">
        <v>232</v>
      </c>
      <c r="B1" s="338" t="s">
        <v>15</v>
      </c>
      <c r="C1" s="327">
        <v>2010</v>
      </c>
      <c r="D1" s="327">
        <v>2011</v>
      </c>
      <c r="E1" s="327">
        <v>2012</v>
      </c>
      <c r="F1" s="327">
        <v>2013</v>
      </c>
      <c r="G1" s="327">
        <v>2014</v>
      </c>
      <c r="H1" s="327">
        <v>2015</v>
      </c>
      <c r="I1" s="327">
        <v>2016</v>
      </c>
      <c r="J1" s="327">
        <v>2017</v>
      </c>
      <c r="K1" s="327">
        <v>2018</v>
      </c>
      <c r="L1" s="327">
        <v>2019</v>
      </c>
      <c r="M1" s="327">
        <v>2020</v>
      </c>
    </row>
    <row r="2" spans="1:13" ht="14.45" customHeight="1" x14ac:dyDescent="0.25">
      <c r="A2" s="337"/>
      <c r="B2" s="338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</row>
    <row r="3" spans="1:13" ht="14.45" customHeight="1" x14ac:dyDescent="0.25">
      <c r="A3" s="337"/>
      <c r="B3" s="338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</row>
    <row r="4" spans="1:13" ht="6.75" customHeight="1" x14ac:dyDescent="0.25">
      <c r="A4" s="13"/>
      <c r="B4" s="116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113" t="s">
        <v>233</v>
      </c>
      <c r="B5" s="117"/>
      <c r="C5" s="91"/>
      <c r="D5" s="91"/>
      <c r="E5" s="91"/>
      <c r="F5" s="91"/>
      <c r="G5" s="91"/>
      <c r="H5" s="91"/>
      <c r="I5" s="91"/>
      <c r="J5" s="91"/>
      <c r="K5" s="91"/>
      <c r="L5" s="331"/>
      <c r="M5" s="331"/>
    </row>
    <row r="6" spans="1:13" x14ac:dyDescent="0.25">
      <c r="A6" s="11" t="s">
        <v>266</v>
      </c>
      <c r="B6" s="119" t="s">
        <v>265</v>
      </c>
      <c r="C6" s="12">
        <f t="shared" ref="C6:H6" si="0">C7+C9+C11</f>
        <v>13</v>
      </c>
      <c r="D6" s="12">
        <f t="shared" si="0"/>
        <v>13</v>
      </c>
      <c r="E6" s="12">
        <f t="shared" si="0"/>
        <v>13</v>
      </c>
      <c r="F6" s="12">
        <f t="shared" si="0"/>
        <v>13</v>
      </c>
      <c r="G6" s="12">
        <f t="shared" si="0"/>
        <v>13</v>
      </c>
      <c r="H6" s="12">
        <f t="shared" si="0"/>
        <v>13</v>
      </c>
      <c r="I6" s="12">
        <v>13</v>
      </c>
      <c r="J6" s="12">
        <v>13</v>
      </c>
      <c r="K6" s="12">
        <v>13</v>
      </c>
      <c r="L6" s="12">
        <v>13</v>
      </c>
      <c r="M6" s="12">
        <v>13</v>
      </c>
    </row>
    <row r="7" spans="1:13" x14ac:dyDescent="0.25">
      <c r="A7" s="11" t="s">
        <v>19</v>
      </c>
      <c r="B7" s="119" t="s">
        <v>265</v>
      </c>
      <c r="C7" s="12">
        <v>3</v>
      </c>
      <c r="D7" s="12">
        <v>6</v>
      </c>
      <c r="E7" s="12">
        <v>5</v>
      </c>
      <c r="F7" s="12">
        <v>5</v>
      </c>
      <c r="G7" s="12">
        <v>5</v>
      </c>
      <c r="H7" s="12">
        <v>5</v>
      </c>
      <c r="I7" s="12">
        <v>5</v>
      </c>
      <c r="J7" s="12">
        <v>4</v>
      </c>
      <c r="K7" s="12">
        <v>6</v>
      </c>
      <c r="L7" s="12">
        <v>7</v>
      </c>
      <c r="M7" s="12">
        <v>6</v>
      </c>
    </row>
    <row r="8" spans="1:13" x14ac:dyDescent="0.25">
      <c r="A8" s="115" t="s">
        <v>35</v>
      </c>
      <c r="B8" s="120" t="s">
        <v>0</v>
      </c>
      <c r="C8" s="98">
        <f t="shared" ref="C8:H8" si="1">C7/C6</f>
        <v>0.23076923076923078</v>
      </c>
      <c r="D8" s="98">
        <f t="shared" si="1"/>
        <v>0.46153846153846156</v>
      </c>
      <c r="E8" s="98">
        <f t="shared" si="1"/>
        <v>0.38461538461538464</v>
      </c>
      <c r="F8" s="98">
        <f t="shared" si="1"/>
        <v>0.38461538461538464</v>
      </c>
      <c r="G8" s="98">
        <f t="shared" si="1"/>
        <v>0.38461538461538464</v>
      </c>
      <c r="H8" s="98">
        <f t="shared" si="1"/>
        <v>0.38461538461538464</v>
      </c>
      <c r="I8" s="98">
        <f>I7/I6</f>
        <v>0.38461538461538464</v>
      </c>
      <c r="J8" s="98">
        <f>J7/J6</f>
        <v>0.30769230769230771</v>
      </c>
      <c r="K8" s="98">
        <f t="shared" ref="K8:L8" si="2">K7/K6</f>
        <v>0.46153846153846156</v>
      </c>
      <c r="L8" s="98">
        <f t="shared" si="2"/>
        <v>0.53846153846153844</v>
      </c>
      <c r="M8" s="98">
        <f>M7/M6</f>
        <v>0.46153846153846156</v>
      </c>
    </row>
    <row r="9" spans="1:13" x14ac:dyDescent="0.25">
      <c r="A9" s="11" t="s">
        <v>20</v>
      </c>
      <c r="B9" s="119" t="s">
        <v>265</v>
      </c>
      <c r="C9" s="25">
        <v>7</v>
      </c>
      <c r="D9" s="25">
        <v>6</v>
      </c>
      <c r="E9" s="25">
        <v>7</v>
      </c>
      <c r="F9" s="25">
        <v>7</v>
      </c>
      <c r="G9" s="25">
        <v>7</v>
      </c>
      <c r="H9" s="25">
        <v>6</v>
      </c>
      <c r="I9" s="25">
        <v>6</v>
      </c>
      <c r="J9" s="25">
        <v>6</v>
      </c>
      <c r="K9" s="25">
        <v>4</v>
      </c>
      <c r="L9" s="25">
        <v>3</v>
      </c>
      <c r="M9" s="25">
        <v>5</v>
      </c>
    </row>
    <row r="10" spans="1:13" s="99" customFormat="1" x14ac:dyDescent="0.25">
      <c r="A10" s="115" t="s">
        <v>31</v>
      </c>
      <c r="B10" s="120" t="s">
        <v>0</v>
      </c>
      <c r="C10" s="98">
        <f t="shared" ref="C10:I10" si="3">C9/C6</f>
        <v>0.53846153846153844</v>
      </c>
      <c r="D10" s="98">
        <f t="shared" si="3"/>
        <v>0.46153846153846156</v>
      </c>
      <c r="E10" s="98">
        <f t="shared" si="3"/>
        <v>0.53846153846153844</v>
      </c>
      <c r="F10" s="98">
        <f t="shared" si="3"/>
        <v>0.53846153846153844</v>
      </c>
      <c r="G10" s="98">
        <f t="shared" si="3"/>
        <v>0.53846153846153844</v>
      </c>
      <c r="H10" s="98">
        <f t="shared" si="3"/>
        <v>0.46153846153846156</v>
      </c>
      <c r="I10" s="98">
        <f t="shared" si="3"/>
        <v>0.46153846153846156</v>
      </c>
      <c r="J10" s="98">
        <f>J9/J6</f>
        <v>0.46153846153846156</v>
      </c>
      <c r="K10" s="98">
        <f>K9/K6</f>
        <v>0.30769230769230771</v>
      </c>
      <c r="L10" s="98">
        <f>L9/L6</f>
        <v>0.23076923076923078</v>
      </c>
      <c r="M10" s="98">
        <f>M9/M6</f>
        <v>0.38461538461538464</v>
      </c>
    </row>
    <row r="11" spans="1:13" x14ac:dyDescent="0.25">
      <c r="A11" s="11" t="s">
        <v>21</v>
      </c>
      <c r="B11" s="119" t="s">
        <v>265</v>
      </c>
      <c r="C11" s="12">
        <v>3</v>
      </c>
      <c r="D11" s="12">
        <v>1</v>
      </c>
      <c r="E11" s="12">
        <v>1</v>
      </c>
      <c r="F11" s="12">
        <v>1</v>
      </c>
      <c r="G11" s="12">
        <v>1</v>
      </c>
      <c r="H11" s="12">
        <v>2</v>
      </c>
      <c r="I11" s="12">
        <v>2</v>
      </c>
      <c r="J11" s="12">
        <v>2</v>
      </c>
      <c r="K11" s="25">
        <v>3</v>
      </c>
      <c r="L11" s="25">
        <v>3</v>
      </c>
      <c r="M11" s="25">
        <v>2</v>
      </c>
    </row>
    <row r="12" spans="1:13" s="99" customFormat="1" x14ac:dyDescent="0.25">
      <c r="A12" s="115" t="s">
        <v>36</v>
      </c>
      <c r="B12" s="120" t="s">
        <v>0</v>
      </c>
      <c r="C12" s="98">
        <f t="shared" ref="C12:I12" si="4">C11/C6</f>
        <v>0.23076923076923078</v>
      </c>
      <c r="D12" s="98">
        <f t="shared" si="4"/>
        <v>7.6923076923076927E-2</v>
      </c>
      <c r="E12" s="98">
        <f t="shared" si="4"/>
        <v>7.6923076923076927E-2</v>
      </c>
      <c r="F12" s="98">
        <f t="shared" si="4"/>
        <v>7.6923076923076927E-2</v>
      </c>
      <c r="G12" s="98">
        <f t="shared" si="4"/>
        <v>7.6923076923076927E-2</v>
      </c>
      <c r="H12" s="98">
        <f t="shared" si="4"/>
        <v>0.15384615384615385</v>
      </c>
      <c r="I12" s="98">
        <f t="shared" si="4"/>
        <v>0.15384615384615385</v>
      </c>
      <c r="J12" s="98">
        <f>J11/J6</f>
        <v>0.15384615384615385</v>
      </c>
      <c r="K12" s="98">
        <f>K11/K6</f>
        <v>0.23076923076923078</v>
      </c>
      <c r="L12" s="98">
        <f>L11/L6</f>
        <v>0.23076923076923078</v>
      </c>
      <c r="M12" s="98">
        <f>M11/M6</f>
        <v>0.15384615384615385</v>
      </c>
    </row>
    <row r="13" spans="1:13" x14ac:dyDescent="0.25">
      <c r="A13" s="11" t="s">
        <v>40</v>
      </c>
      <c r="B13" s="119" t="s">
        <v>265</v>
      </c>
      <c r="C13" s="12">
        <v>1</v>
      </c>
      <c r="D13" s="12">
        <v>2</v>
      </c>
      <c r="E13" s="12">
        <v>2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</row>
    <row r="14" spans="1:13" x14ac:dyDescent="0.25">
      <c r="A14" s="11" t="s">
        <v>102</v>
      </c>
      <c r="B14" s="121" t="s">
        <v>101</v>
      </c>
      <c r="C14" s="12">
        <v>51</v>
      </c>
      <c r="D14" s="12">
        <v>64</v>
      </c>
      <c r="E14" s="12">
        <v>62</v>
      </c>
      <c r="F14" s="12">
        <v>64</v>
      </c>
      <c r="G14" s="12">
        <v>42</v>
      </c>
      <c r="H14" s="12">
        <v>47</v>
      </c>
      <c r="I14" s="12">
        <v>50</v>
      </c>
      <c r="J14" s="12">
        <v>42</v>
      </c>
      <c r="K14" s="12">
        <v>45</v>
      </c>
      <c r="L14" s="12">
        <v>34</v>
      </c>
      <c r="M14" s="100">
        <v>37</v>
      </c>
    </row>
    <row r="15" spans="1:13" x14ac:dyDescent="0.25">
      <c r="A15" s="10" t="s">
        <v>32</v>
      </c>
      <c r="B15" s="121" t="s">
        <v>101</v>
      </c>
      <c r="C15" s="100">
        <f>51-40</f>
        <v>11</v>
      </c>
      <c r="D15" s="100">
        <f>64-53</f>
        <v>11</v>
      </c>
      <c r="E15" s="100">
        <f>62-53</f>
        <v>9</v>
      </c>
      <c r="F15" s="100">
        <v>13</v>
      </c>
      <c r="G15" s="100">
        <f>8</f>
        <v>8</v>
      </c>
      <c r="H15" s="100">
        <f>9</f>
        <v>9</v>
      </c>
      <c r="I15" s="100">
        <v>7</v>
      </c>
      <c r="J15" s="100">
        <v>7</v>
      </c>
      <c r="K15" s="100">
        <v>13</v>
      </c>
      <c r="L15" s="100">
        <v>10</v>
      </c>
      <c r="M15" s="100">
        <v>10</v>
      </c>
    </row>
    <row r="16" spans="1:13" x14ac:dyDescent="0.25">
      <c r="A16" s="114" t="s">
        <v>22</v>
      </c>
      <c r="B16" s="11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x14ac:dyDescent="0.25">
      <c r="A17" s="11" t="s">
        <v>138</v>
      </c>
      <c r="B17" s="119" t="s">
        <v>265</v>
      </c>
      <c r="C17" s="21">
        <v>11</v>
      </c>
      <c r="D17" s="21">
        <v>8</v>
      </c>
      <c r="E17" s="21">
        <v>7</v>
      </c>
      <c r="F17" s="21">
        <v>9</v>
      </c>
      <c r="G17" s="21">
        <v>8</v>
      </c>
      <c r="H17" s="21">
        <v>6</v>
      </c>
      <c r="I17" s="21">
        <v>2</v>
      </c>
      <c r="J17" s="21">
        <v>2</v>
      </c>
      <c r="K17" s="21">
        <v>3</v>
      </c>
      <c r="L17" s="21">
        <v>5</v>
      </c>
      <c r="M17" s="21">
        <v>6</v>
      </c>
    </row>
    <row r="18" spans="1:13" x14ac:dyDescent="0.25">
      <c r="A18" s="9" t="s">
        <v>139</v>
      </c>
      <c r="B18" s="119" t="s">
        <v>265</v>
      </c>
      <c r="C18" s="21">
        <v>0</v>
      </c>
      <c r="D18" s="21">
        <v>4</v>
      </c>
      <c r="E18" s="21">
        <v>5</v>
      </c>
      <c r="F18" s="21">
        <v>3</v>
      </c>
      <c r="G18" s="21">
        <v>2</v>
      </c>
      <c r="H18" s="21">
        <v>5</v>
      </c>
      <c r="I18" s="21">
        <v>7</v>
      </c>
      <c r="J18" s="21">
        <v>6</v>
      </c>
      <c r="K18" s="21">
        <v>4</v>
      </c>
      <c r="L18" s="21">
        <v>0</v>
      </c>
      <c r="M18" s="21">
        <v>1</v>
      </c>
    </row>
    <row r="19" spans="1:13" x14ac:dyDescent="0.25">
      <c r="A19" s="9" t="s">
        <v>140</v>
      </c>
      <c r="B19" s="119" t="s">
        <v>265</v>
      </c>
      <c r="C19" s="21">
        <v>2</v>
      </c>
      <c r="D19" s="21">
        <v>1</v>
      </c>
      <c r="E19" s="21">
        <v>1</v>
      </c>
      <c r="F19" s="21">
        <v>1</v>
      </c>
      <c r="G19" s="21">
        <v>2</v>
      </c>
      <c r="H19" s="21">
        <v>3</v>
      </c>
      <c r="I19" s="21">
        <v>4</v>
      </c>
      <c r="J19" s="21">
        <v>5</v>
      </c>
      <c r="K19" s="21">
        <v>6</v>
      </c>
      <c r="L19" s="21">
        <v>8</v>
      </c>
      <c r="M19" s="21">
        <v>6</v>
      </c>
    </row>
    <row r="20" spans="1:13" x14ac:dyDescent="0.25">
      <c r="A20" s="114" t="s">
        <v>33</v>
      </c>
      <c r="B20" s="118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x14ac:dyDescent="0.25">
      <c r="A21" s="9" t="s">
        <v>25</v>
      </c>
      <c r="B21" s="119" t="s">
        <v>265</v>
      </c>
      <c r="C21" s="21">
        <v>5</v>
      </c>
      <c r="D21" s="21">
        <v>2</v>
      </c>
      <c r="E21" s="21">
        <v>2</v>
      </c>
      <c r="F21" s="21">
        <v>3</v>
      </c>
      <c r="G21" s="21">
        <v>4</v>
      </c>
      <c r="H21" s="21">
        <v>4</v>
      </c>
      <c r="I21" s="21">
        <v>3</v>
      </c>
      <c r="J21" s="21">
        <v>1</v>
      </c>
      <c r="K21" s="25">
        <v>3</v>
      </c>
      <c r="L21" s="25">
        <v>0</v>
      </c>
      <c r="M21" s="21">
        <v>0</v>
      </c>
    </row>
    <row r="22" spans="1:13" x14ac:dyDescent="0.25">
      <c r="A22" s="9" t="s">
        <v>24</v>
      </c>
      <c r="B22" s="119" t="s">
        <v>265</v>
      </c>
      <c r="C22" s="21">
        <v>8</v>
      </c>
      <c r="D22" s="21">
        <v>11</v>
      </c>
      <c r="E22" s="21">
        <v>10</v>
      </c>
      <c r="F22" s="21">
        <v>8</v>
      </c>
      <c r="G22" s="21">
        <v>8</v>
      </c>
      <c r="H22" s="21">
        <v>8</v>
      </c>
      <c r="I22" s="21">
        <v>9</v>
      </c>
      <c r="J22" s="21">
        <v>11</v>
      </c>
      <c r="K22" s="25">
        <v>9</v>
      </c>
      <c r="L22" s="25">
        <v>10</v>
      </c>
      <c r="M22" s="21">
        <v>10</v>
      </c>
    </row>
    <row r="23" spans="1:13" x14ac:dyDescent="0.25">
      <c r="A23" s="9" t="s">
        <v>23</v>
      </c>
      <c r="B23" s="119" t="s">
        <v>265</v>
      </c>
      <c r="C23" s="21">
        <v>0</v>
      </c>
      <c r="D23" s="21">
        <v>0</v>
      </c>
      <c r="E23" s="21">
        <v>1</v>
      </c>
      <c r="F23" s="21">
        <v>2</v>
      </c>
      <c r="G23" s="21">
        <v>1</v>
      </c>
      <c r="H23" s="21">
        <v>1</v>
      </c>
      <c r="I23" s="21">
        <v>1</v>
      </c>
      <c r="J23" s="21">
        <v>1</v>
      </c>
      <c r="K23" s="25">
        <v>1</v>
      </c>
      <c r="L23" s="25">
        <v>3</v>
      </c>
      <c r="M23" s="21">
        <v>3</v>
      </c>
    </row>
    <row r="24" spans="1:13" x14ac:dyDescent="0.25">
      <c r="A24" s="114" t="s">
        <v>26</v>
      </c>
      <c r="B24" s="11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x14ac:dyDescent="0.25">
      <c r="A25" s="9" t="s">
        <v>141</v>
      </c>
      <c r="B25" s="119" t="s">
        <v>265</v>
      </c>
      <c r="C25" s="101">
        <v>4</v>
      </c>
      <c r="D25" s="101">
        <v>4</v>
      </c>
      <c r="E25" s="101">
        <v>4</v>
      </c>
      <c r="F25" s="101">
        <v>4</v>
      </c>
      <c r="G25" s="101">
        <v>5</v>
      </c>
      <c r="H25" s="101">
        <v>5</v>
      </c>
      <c r="I25" s="25">
        <v>5</v>
      </c>
      <c r="J25" s="25">
        <v>6</v>
      </c>
      <c r="K25" s="25">
        <v>5</v>
      </c>
      <c r="L25" s="25">
        <v>5</v>
      </c>
      <c r="M25" s="25">
        <v>5</v>
      </c>
    </row>
    <row r="26" spans="1:13" x14ac:dyDescent="0.25">
      <c r="A26" s="9" t="s">
        <v>142</v>
      </c>
      <c r="B26" s="119" t="s">
        <v>265</v>
      </c>
      <c r="C26" s="101">
        <v>5</v>
      </c>
      <c r="D26" s="101">
        <v>7</v>
      </c>
      <c r="E26" s="101">
        <v>8</v>
      </c>
      <c r="F26" s="101">
        <v>8</v>
      </c>
      <c r="G26" s="101">
        <v>8</v>
      </c>
      <c r="H26" s="101">
        <v>8</v>
      </c>
      <c r="I26" s="25">
        <v>8</v>
      </c>
      <c r="J26" s="25">
        <v>9</v>
      </c>
      <c r="K26" s="25">
        <v>9</v>
      </c>
      <c r="L26" s="25">
        <v>6</v>
      </c>
      <c r="M26" s="25">
        <v>6</v>
      </c>
    </row>
    <row r="27" spans="1:13" x14ac:dyDescent="0.25">
      <c r="A27" s="9" t="s">
        <v>143</v>
      </c>
      <c r="B27" s="119" t="s">
        <v>265</v>
      </c>
      <c r="C27" s="101">
        <v>13</v>
      </c>
      <c r="D27" s="101">
        <v>13</v>
      </c>
      <c r="E27" s="101">
        <v>11</v>
      </c>
      <c r="F27" s="101">
        <v>11</v>
      </c>
      <c r="G27" s="101">
        <v>10</v>
      </c>
      <c r="H27" s="101">
        <v>10</v>
      </c>
      <c r="I27" s="25">
        <v>9</v>
      </c>
      <c r="J27" s="25">
        <v>6</v>
      </c>
      <c r="K27" s="25">
        <v>7</v>
      </c>
      <c r="L27" s="25">
        <v>8</v>
      </c>
      <c r="M27" s="25">
        <v>8</v>
      </c>
    </row>
    <row r="28" spans="1:13" x14ac:dyDescent="0.25">
      <c r="A28" s="9" t="s">
        <v>144</v>
      </c>
      <c r="B28" s="119" t="s">
        <v>265</v>
      </c>
      <c r="C28" s="101">
        <v>9</v>
      </c>
      <c r="D28" s="101">
        <v>8</v>
      </c>
      <c r="E28" s="101">
        <v>9</v>
      </c>
      <c r="F28" s="101">
        <v>9</v>
      </c>
      <c r="G28" s="101">
        <v>9</v>
      </c>
      <c r="H28" s="101">
        <v>9</v>
      </c>
      <c r="I28" s="25">
        <v>10</v>
      </c>
      <c r="J28" s="25">
        <v>10</v>
      </c>
      <c r="K28" s="25">
        <v>9</v>
      </c>
      <c r="L28" s="25">
        <v>8</v>
      </c>
      <c r="M28" s="25">
        <v>8</v>
      </c>
    </row>
    <row r="29" spans="1:13" x14ac:dyDescent="0.25">
      <c r="A29" s="9" t="s">
        <v>145</v>
      </c>
      <c r="B29" s="119" t="s">
        <v>265</v>
      </c>
      <c r="C29" s="101">
        <v>3</v>
      </c>
      <c r="D29" s="101">
        <v>3</v>
      </c>
      <c r="E29" s="101">
        <v>4</v>
      </c>
      <c r="F29" s="101">
        <v>5</v>
      </c>
      <c r="G29" s="101">
        <v>6</v>
      </c>
      <c r="H29" s="101">
        <v>5</v>
      </c>
      <c r="I29" s="25">
        <v>5</v>
      </c>
      <c r="J29" s="25">
        <v>6</v>
      </c>
      <c r="K29" s="25">
        <v>5</v>
      </c>
      <c r="L29" s="25">
        <v>5</v>
      </c>
      <c r="M29" s="25">
        <v>5</v>
      </c>
    </row>
    <row r="30" spans="1:13" x14ac:dyDescent="0.25">
      <c r="A30" s="9" t="s">
        <v>281</v>
      </c>
      <c r="B30" s="119" t="s">
        <v>265</v>
      </c>
      <c r="C30" s="142" t="s">
        <v>93</v>
      </c>
      <c r="D30" s="142" t="s">
        <v>93</v>
      </c>
      <c r="E30" s="142" t="s">
        <v>93</v>
      </c>
      <c r="F30" s="142" t="s">
        <v>93</v>
      </c>
      <c r="G30" s="142" t="s">
        <v>93</v>
      </c>
      <c r="H30" s="142" t="s">
        <v>93</v>
      </c>
      <c r="I30" s="142" t="s">
        <v>93</v>
      </c>
      <c r="J30" s="142" t="s">
        <v>93</v>
      </c>
      <c r="K30" s="142" t="s">
        <v>93</v>
      </c>
      <c r="L30" s="25">
        <v>2</v>
      </c>
      <c r="M30" s="25">
        <v>2</v>
      </c>
    </row>
    <row r="31" spans="1:13" x14ac:dyDescent="0.25">
      <c r="A31" s="113" t="s">
        <v>234</v>
      </c>
      <c r="B31" s="117"/>
      <c r="C31" s="91"/>
      <c r="D31" s="91"/>
      <c r="E31" s="91"/>
      <c r="F31" s="91"/>
      <c r="G31" s="91"/>
      <c r="H31" s="91"/>
      <c r="I31" s="91"/>
      <c r="J31" s="91"/>
      <c r="K31" s="85"/>
      <c r="L31" s="85"/>
      <c r="M31" s="85"/>
    </row>
    <row r="32" spans="1:13" ht="6.75" customHeight="1" x14ac:dyDescent="0.25">
      <c r="A32" s="122"/>
      <c r="B32" s="124"/>
      <c r="C32" s="3"/>
      <c r="D32" s="3"/>
      <c r="E32" s="3"/>
      <c r="F32" s="3"/>
      <c r="G32" s="3"/>
      <c r="H32" s="3"/>
      <c r="I32" s="3"/>
      <c r="J32" s="3"/>
      <c r="K32" s="88"/>
      <c r="L32" s="88"/>
      <c r="M32" s="88"/>
    </row>
    <row r="33" spans="1:13" x14ac:dyDescent="0.25">
      <c r="A33" s="114" t="s">
        <v>28</v>
      </c>
      <c r="B33" s="118"/>
      <c r="C33" s="7"/>
      <c r="D33" s="7"/>
      <c r="E33" s="62"/>
      <c r="F33" s="7"/>
      <c r="G33" s="7"/>
      <c r="H33" s="7"/>
      <c r="I33" s="7"/>
      <c r="J33" s="7"/>
      <c r="K33" s="7"/>
      <c r="L33" s="7"/>
      <c r="M33" s="7"/>
    </row>
    <row r="34" spans="1:13" x14ac:dyDescent="0.25">
      <c r="A34" s="11" t="s">
        <v>34</v>
      </c>
      <c r="B34" s="119" t="s">
        <v>265</v>
      </c>
      <c r="C34" s="102">
        <v>4</v>
      </c>
      <c r="D34" s="102">
        <v>4</v>
      </c>
      <c r="E34" s="102">
        <v>4</v>
      </c>
      <c r="F34" s="102">
        <v>4</v>
      </c>
      <c r="G34" s="102">
        <v>5</v>
      </c>
      <c r="H34" s="103">
        <v>5</v>
      </c>
      <c r="I34" s="21">
        <v>5</v>
      </c>
      <c r="J34" s="21">
        <v>5</v>
      </c>
      <c r="K34" s="21">
        <v>5</v>
      </c>
      <c r="L34" s="21">
        <v>5</v>
      </c>
      <c r="M34" s="21">
        <v>5</v>
      </c>
    </row>
    <row r="35" spans="1:13" s="99" customFormat="1" x14ac:dyDescent="0.25">
      <c r="A35" s="115" t="s">
        <v>282</v>
      </c>
      <c r="B35" s="120" t="s">
        <v>265</v>
      </c>
      <c r="C35" s="323">
        <v>2</v>
      </c>
      <c r="D35" s="323">
        <v>2</v>
      </c>
      <c r="E35" s="323">
        <v>2</v>
      </c>
      <c r="F35" s="323">
        <v>2</v>
      </c>
      <c r="G35" s="323">
        <v>3</v>
      </c>
      <c r="H35" s="323">
        <v>3</v>
      </c>
      <c r="I35" s="100">
        <v>3</v>
      </c>
      <c r="J35" s="100">
        <v>3</v>
      </c>
      <c r="K35" s="100">
        <v>3</v>
      </c>
      <c r="L35" s="100">
        <v>4</v>
      </c>
      <c r="M35" s="100">
        <v>2</v>
      </c>
    </row>
    <row r="36" spans="1:13" x14ac:dyDescent="0.25">
      <c r="A36" s="11" t="s">
        <v>30</v>
      </c>
      <c r="B36" s="125" t="s">
        <v>0</v>
      </c>
      <c r="C36" s="104">
        <f t="shared" ref="C36:I36" si="5">C35/C34</f>
        <v>0.5</v>
      </c>
      <c r="D36" s="104">
        <f t="shared" si="5"/>
        <v>0.5</v>
      </c>
      <c r="E36" s="104">
        <f t="shared" si="5"/>
        <v>0.5</v>
      </c>
      <c r="F36" s="104">
        <f t="shared" si="5"/>
        <v>0.5</v>
      </c>
      <c r="G36" s="104">
        <f t="shared" si="5"/>
        <v>0.6</v>
      </c>
      <c r="H36" s="105">
        <f t="shared" si="5"/>
        <v>0.6</v>
      </c>
      <c r="I36" s="105">
        <f t="shared" si="5"/>
        <v>0.6</v>
      </c>
      <c r="J36" s="105">
        <f t="shared" ref="J36:M36" si="6">J35/J34</f>
        <v>0.6</v>
      </c>
      <c r="K36" s="105">
        <f t="shared" si="6"/>
        <v>0.6</v>
      </c>
      <c r="L36" s="105">
        <f t="shared" si="6"/>
        <v>0.8</v>
      </c>
      <c r="M36" s="105">
        <f t="shared" si="6"/>
        <v>0.4</v>
      </c>
    </row>
    <row r="37" spans="1:13" x14ac:dyDescent="0.25">
      <c r="A37" s="123" t="s">
        <v>37</v>
      </c>
      <c r="B37" s="125" t="s">
        <v>17</v>
      </c>
      <c r="C37" s="102" t="s">
        <v>95</v>
      </c>
      <c r="D37" s="102" t="s">
        <v>95</v>
      </c>
      <c r="E37" s="102" t="s">
        <v>95</v>
      </c>
      <c r="F37" s="102" t="s">
        <v>94</v>
      </c>
      <c r="G37" s="102" t="s">
        <v>94</v>
      </c>
      <c r="H37" s="102" t="s">
        <v>94</v>
      </c>
      <c r="I37" s="102" t="s">
        <v>94</v>
      </c>
      <c r="J37" s="102" t="s">
        <v>94</v>
      </c>
      <c r="K37" s="102" t="s">
        <v>94</v>
      </c>
      <c r="L37" s="102" t="s">
        <v>95</v>
      </c>
      <c r="M37" s="102" t="s">
        <v>94</v>
      </c>
    </row>
    <row r="38" spans="1:13" x14ac:dyDescent="0.25">
      <c r="A38" s="9" t="s">
        <v>103</v>
      </c>
      <c r="B38" s="121" t="s">
        <v>101</v>
      </c>
      <c r="C38" s="102">
        <v>2</v>
      </c>
      <c r="D38" s="102">
        <v>3</v>
      </c>
      <c r="E38" s="102">
        <v>3</v>
      </c>
      <c r="F38" s="102">
        <v>1</v>
      </c>
      <c r="G38" s="102">
        <v>8</v>
      </c>
      <c r="H38" s="102">
        <v>7</v>
      </c>
      <c r="I38" s="21">
        <v>8</v>
      </c>
      <c r="J38" s="21">
        <v>10</v>
      </c>
      <c r="K38" s="21">
        <v>8</v>
      </c>
      <c r="L38" s="21">
        <v>7</v>
      </c>
      <c r="M38" s="21">
        <v>8</v>
      </c>
    </row>
    <row r="39" spans="1:13" x14ac:dyDescent="0.25">
      <c r="A39" s="114" t="s">
        <v>27</v>
      </c>
      <c r="B39" s="118"/>
      <c r="C39" s="7"/>
      <c r="D39" s="7"/>
      <c r="E39" s="62"/>
      <c r="F39" s="62"/>
      <c r="G39" s="7"/>
      <c r="H39" s="7"/>
      <c r="I39" s="7"/>
      <c r="J39" s="7"/>
      <c r="K39" s="7"/>
      <c r="L39" s="7"/>
      <c r="M39" s="7"/>
    </row>
    <row r="40" spans="1:13" x14ac:dyDescent="0.25">
      <c r="A40" s="11" t="s">
        <v>34</v>
      </c>
      <c r="B40" s="119" t="s">
        <v>265</v>
      </c>
      <c r="C40" s="102">
        <v>5</v>
      </c>
      <c r="D40" s="102">
        <v>5</v>
      </c>
      <c r="E40" s="102">
        <v>5</v>
      </c>
      <c r="F40" s="102">
        <v>5</v>
      </c>
      <c r="G40" s="102">
        <v>5</v>
      </c>
      <c r="H40" s="102">
        <v>5</v>
      </c>
      <c r="I40" s="21">
        <v>5</v>
      </c>
      <c r="J40" s="21">
        <v>5</v>
      </c>
      <c r="K40" s="21">
        <v>5</v>
      </c>
      <c r="L40" s="21">
        <v>5</v>
      </c>
      <c r="M40" s="21">
        <v>5</v>
      </c>
    </row>
    <row r="41" spans="1:13" s="99" customFormat="1" x14ac:dyDescent="0.25">
      <c r="A41" s="115" t="s">
        <v>282</v>
      </c>
      <c r="B41" s="120" t="s">
        <v>265</v>
      </c>
      <c r="C41" s="323">
        <v>1</v>
      </c>
      <c r="D41" s="323">
        <v>2</v>
      </c>
      <c r="E41" s="323">
        <v>4</v>
      </c>
      <c r="F41" s="323">
        <v>1</v>
      </c>
      <c r="G41" s="323">
        <v>1</v>
      </c>
      <c r="H41" s="323">
        <v>2</v>
      </c>
      <c r="I41" s="100">
        <v>2</v>
      </c>
      <c r="J41" s="100">
        <v>2</v>
      </c>
      <c r="K41" s="100">
        <v>3</v>
      </c>
      <c r="L41" s="100">
        <v>3</v>
      </c>
      <c r="M41" s="100">
        <v>2</v>
      </c>
    </row>
    <row r="42" spans="1:13" x14ac:dyDescent="0.25">
      <c r="A42" s="11" t="s">
        <v>30</v>
      </c>
      <c r="B42" s="125" t="s">
        <v>0</v>
      </c>
      <c r="C42" s="104">
        <f t="shared" ref="C42:I42" si="7">C41/C40</f>
        <v>0.2</v>
      </c>
      <c r="D42" s="104">
        <f t="shared" si="7"/>
        <v>0.4</v>
      </c>
      <c r="E42" s="104">
        <f t="shared" si="7"/>
        <v>0.8</v>
      </c>
      <c r="F42" s="104">
        <f t="shared" si="7"/>
        <v>0.2</v>
      </c>
      <c r="G42" s="104">
        <f t="shared" si="7"/>
        <v>0.2</v>
      </c>
      <c r="H42" s="105">
        <f t="shared" si="7"/>
        <v>0.4</v>
      </c>
      <c r="I42" s="105">
        <f t="shared" si="7"/>
        <v>0.4</v>
      </c>
      <c r="J42" s="105">
        <f t="shared" ref="J42:K42" si="8">J41/J40</f>
        <v>0.4</v>
      </c>
      <c r="K42" s="105">
        <f t="shared" si="8"/>
        <v>0.6</v>
      </c>
      <c r="L42" s="105">
        <f t="shared" ref="L42:M42" si="9">L41/L40</f>
        <v>0.6</v>
      </c>
      <c r="M42" s="105">
        <f t="shared" si="9"/>
        <v>0.4</v>
      </c>
    </row>
    <row r="43" spans="1:13" x14ac:dyDescent="0.25">
      <c r="A43" s="123" t="s">
        <v>37</v>
      </c>
      <c r="B43" s="125" t="s">
        <v>17</v>
      </c>
      <c r="C43" s="102" t="s">
        <v>94</v>
      </c>
      <c r="D43" s="102" t="s">
        <v>95</v>
      </c>
      <c r="E43" s="102" t="s">
        <v>94</v>
      </c>
      <c r="F43" s="102" t="s">
        <v>94</v>
      </c>
      <c r="G43" s="102" t="s">
        <v>94</v>
      </c>
      <c r="H43" s="102" t="s">
        <v>94</v>
      </c>
      <c r="I43" s="102" t="s">
        <v>94</v>
      </c>
      <c r="J43" s="102" t="s">
        <v>94</v>
      </c>
      <c r="K43" s="102" t="s">
        <v>94</v>
      </c>
      <c r="L43" s="102" t="s">
        <v>94</v>
      </c>
      <c r="M43" s="102" t="s">
        <v>94</v>
      </c>
    </row>
    <row r="44" spans="1:13" x14ac:dyDescent="0.25">
      <c r="A44" s="9" t="s">
        <v>103</v>
      </c>
      <c r="B44" s="121" t="s">
        <v>101</v>
      </c>
      <c r="C44" s="102" t="s">
        <v>4</v>
      </c>
      <c r="D44" s="102">
        <v>2</v>
      </c>
      <c r="E44" s="102">
        <v>2</v>
      </c>
      <c r="F44" s="102">
        <v>4</v>
      </c>
      <c r="G44" s="102">
        <v>5</v>
      </c>
      <c r="H44" s="102">
        <v>6</v>
      </c>
      <c r="I44" s="21">
        <v>7</v>
      </c>
      <c r="J44" s="21">
        <v>5</v>
      </c>
      <c r="K44" s="21">
        <v>4</v>
      </c>
      <c r="L44" s="21">
        <v>4</v>
      </c>
      <c r="M44" s="21">
        <v>4</v>
      </c>
    </row>
    <row r="45" spans="1:13" x14ac:dyDescent="0.25">
      <c r="A45" s="114" t="s">
        <v>119</v>
      </c>
      <c r="B45" s="118"/>
      <c r="C45" s="7"/>
      <c r="D45" s="7"/>
      <c r="E45" s="62"/>
      <c r="F45" s="62"/>
      <c r="G45" s="7"/>
      <c r="H45" s="7"/>
      <c r="I45" s="7"/>
      <c r="J45" s="7"/>
      <c r="K45" s="7"/>
      <c r="L45" s="7"/>
      <c r="M45" s="7"/>
    </row>
    <row r="46" spans="1:13" x14ac:dyDescent="0.25">
      <c r="A46" s="11" t="s">
        <v>34</v>
      </c>
      <c r="B46" s="119" t="s">
        <v>265</v>
      </c>
      <c r="C46" s="102">
        <v>4</v>
      </c>
      <c r="D46" s="102">
        <v>4</v>
      </c>
      <c r="E46" s="102">
        <v>4</v>
      </c>
      <c r="F46" s="102">
        <v>4</v>
      </c>
      <c r="G46" s="102">
        <v>4</v>
      </c>
      <c r="H46" s="103">
        <v>4</v>
      </c>
      <c r="I46" s="21">
        <v>5</v>
      </c>
      <c r="J46" s="21">
        <v>5</v>
      </c>
      <c r="K46" s="21">
        <v>5</v>
      </c>
      <c r="L46" s="21">
        <v>5</v>
      </c>
      <c r="M46" s="21">
        <v>5</v>
      </c>
    </row>
    <row r="47" spans="1:13" s="99" customFormat="1" x14ac:dyDescent="0.25">
      <c r="A47" s="115" t="s">
        <v>282</v>
      </c>
      <c r="B47" s="120" t="s">
        <v>265</v>
      </c>
      <c r="C47" s="323">
        <v>2</v>
      </c>
      <c r="D47" s="323">
        <v>3</v>
      </c>
      <c r="E47" s="323">
        <v>3</v>
      </c>
      <c r="F47" s="323">
        <v>2</v>
      </c>
      <c r="G47" s="323">
        <v>2</v>
      </c>
      <c r="H47" s="323">
        <v>2</v>
      </c>
      <c r="I47" s="100">
        <v>3</v>
      </c>
      <c r="J47" s="100">
        <v>3</v>
      </c>
      <c r="K47" s="100">
        <v>3</v>
      </c>
      <c r="L47" s="100">
        <v>3</v>
      </c>
      <c r="M47" s="100">
        <v>3</v>
      </c>
    </row>
    <row r="48" spans="1:13" x14ac:dyDescent="0.25">
      <c r="A48" s="11" t="s">
        <v>30</v>
      </c>
      <c r="B48" s="125" t="s">
        <v>0</v>
      </c>
      <c r="C48" s="104">
        <f t="shared" ref="C48:I48" si="10">C47/C46</f>
        <v>0.5</v>
      </c>
      <c r="D48" s="104">
        <f t="shared" si="10"/>
        <v>0.75</v>
      </c>
      <c r="E48" s="104">
        <f t="shared" si="10"/>
        <v>0.75</v>
      </c>
      <c r="F48" s="105">
        <f t="shared" si="10"/>
        <v>0.5</v>
      </c>
      <c r="G48" s="104">
        <f t="shared" si="10"/>
        <v>0.5</v>
      </c>
      <c r="H48" s="105">
        <f t="shared" si="10"/>
        <v>0.5</v>
      </c>
      <c r="I48" s="105">
        <f t="shared" si="10"/>
        <v>0.6</v>
      </c>
      <c r="J48" s="105">
        <f t="shared" ref="J48:M48" si="11">J47/J46</f>
        <v>0.6</v>
      </c>
      <c r="K48" s="105">
        <f t="shared" si="11"/>
        <v>0.6</v>
      </c>
      <c r="L48" s="105">
        <f t="shared" si="11"/>
        <v>0.6</v>
      </c>
      <c r="M48" s="105">
        <f t="shared" si="11"/>
        <v>0.6</v>
      </c>
    </row>
    <row r="49" spans="1:13" x14ac:dyDescent="0.25">
      <c r="A49" s="123" t="s">
        <v>37</v>
      </c>
      <c r="B49" s="125" t="s">
        <v>17</v>
      </c>
      <c r="C49" s="104" t="s">
        <v>95</v>
      </c>
      <c r="D49" s="104" t="s">
        <v>95</v>
      </c>
      <c r="E49" s="104" t="s">
        <v>95</v>
      </c>
      <c r="F49" s="104" t="s">
        <v>95</v>
      </c>
      <c r="G49" s="104" t="s">
        <v>95</v>
      </c>
      <c r="H49" s="104" t="s">
        <v>95</v>
      </c>
      <c r="I49" s="104" t="s">
        <v>95</v>
      </c>
      <c r="J49" s="104" t="s">
        <v>95</v>
      </c>
      <c r="K49" s="104" t="s">
        <v>95</v>
      </c>
      <c r="L49" s="104" t="s">
        <v>95</v>
      </c>
      <c r="M49" s="104" t="s">
        <v>95</v>
      </c>
    </row>
    <row r="50" spans="1:13" x14ac:dyDescent="0.25">
      <c r="A50" s="9" t="s">
        <v>103</v>
      </c>
      <c r="B50" s="121" t="s">
        <v>101</v>
      </c>
      <c r="C50" s="102" t="s">
        <v>4</v>
      </c>
      <c r="D50" s="102" t="s">
        <v>4</v>
      </c>
      <c r="E50" s="102">
        <v>1</v>
      </c>
      <c r="F50" s="102">
        <v>1</v>
      </c>
      <c r="G50" s="102">
        <v>3</v>
      </c>
      <c r="H50" s="102">
        <v>9</v>
      </c>
      <c r="I50" s="21">
        <v>10</v>
      </c>
      <c r="J50" s="21">
        <v>10</v>
      </c>
      <c r="K50" s="21">
        <v>18</v>
      </c>
      <c r="L50" s="21">
        <v>8</v>
      </c>
      <c r="M50" s="21">
        <v>9</v>
      </c>
    </row>
    <row r="51" spans="1:13" x14ac:dyDescent="0.25">
      <c r="A51" s="114" t="s">
        <v>29</v>
      </c>
      <c r="B51" s="118"/>
      <c r="C51" s="7"/>
      <c r="D51" s="7"/>
      <c r="E51" s="62"/>
      <c r="F51" s="62"/>
      <c r="G51" s="7"/>
      <c r="H51" s="7"/>
      <c r="I51" s="332"/>
      <c r="J51" s="332"/>
      <c r="K51" s="332"/>
      <c r="L51" s="332"/>
      <c r="M51" s="332"/>
    </row>
    <row r="52" spans="1:13" x14ac:dyDescent="0.25">
      <c r="A52" s="11" t="s">
        <v>34</v>
      </c>
      <c r="B52" s="119" t="s">
        <v>265</v>
      </c>
      <c r="C52" s="102">
        <v>3</v>
      </c>
      <c r="D52" s="102">
        <v>3</v>
      </c>
      <c r="E52" s="102">
        <v>3</v>
      </c>
      <c r="F52" s="102">
        <v>3</v>
      </c>
      <c r="G52" s="102">
        <v>4</v>
      </c>
      <c r="H52" s="103">
        <v>4</v>
      </c>
      <c r="I52" s="21">
        <v>5</v>
      </c>
      <c r="J52" s="21">
        <v>5</v>
      </c>
      <c r="K52" s="21">
        <v>5</v>
      </c>
      <c r="L52" s="21">
        <v>5</v>
      </c>
      <c r="M52" s="21">
        <v>5</v>
      </c>
    </row>
    <row r="53" spans="1:13" s="99" customFormat="1" x14ac:dyDescent="0.25">
      <c r="A53" s="115" t="s">
        <v>282</v>
      </c>
      <c r="B53" s="120" t="s">
        <v>265</v>
      </c>
      <c r="C53" s="323">
        <v>1</v>
      </c>
      <c r="D53" s="323">
        <v>1</v>
      </c>
      <c r="E53" s="323">
        <v>1</v>
      </c>
      <c r="F53" s="323">
        <v>1</v>
      </c>
      <c r="G53" s="323">
        <v>2</v>
      </c>
      <c r="H53" s="323">
        <v>2</v>
      </c>
      <c r="I53" s="100">
        <v>3</v>
      </c>
      <c r="J53" s="100">
        <v>3</v>
      </c>
      <c r="K53" s="100">
        <v>3</v>
      </c>
      <c r="L53" s="100">
        <v>3</v>
      </c>
      <c r="M53" s="100">
        <v>4</v>
      </c>
    </row>
    <row r="54" spans="1:13" x14ac:dyDescent="0.25">
      <c r="A54" s="11" t="s">
        <v>30</v>
      </c>
      <c r="B54" s="125" t="s">
        <v>0</v>
      </c>
      <c r="C54" s="104">
        <f t="shared" ref="C54:I54" si="12">C53/C52</f>
        <v>0.33333333333333331</v>
      </c>
      <c r="D54" s="104">
        <f t="shared" si="12"/>
        <v>0.33333333333333331</v>
      </c>
      <c r="E54" s="104">
        <f t="shared" si="12"/>
        <v>0.33333333333333331</v>
      </c>
      <c r="F54" s="104">
        <f t="shared" si="12"/>
        <v>0.33333333333333331</v>
      </c>
      <c r="G54" s="104">
        <f t="shared" si="12"/>
        <v>0.5</v>
      </c>
      <c r="H54" s="105">
        <f t="shared" si="12"/>
        <v>0.5</v>
      </c>
      <c r="I54" s="105">
        <f t="shared" si="12"/>
        <v>0.6</v>
      </c>
      <c r="J54" s="105">
        <f t="shared" ref="J54:M54" si="13">J53/J52</f>
        <v>0.6</v>
      </c>
      <c r="K54" s="105">
        <f t="shared" si="13"/>
        <v>0.6</v>
      </c>
      <c r="L54" s="105">
        <f t="shared" si="13"/>
        <v>0.6</v>
      </c>
      <c r="M54" s="105">
        <f t="shared" si="13"/>
        <v>0.8</v>
      </c>
    </row>
    <row r="55" spans="1:13" x14ac:dyDescent="0.25">
      <c r="A55" s="123" t="s">
        <v>37</v>
      </c>
      <c r="B55" s="125" t="s">
        <v>17</v>
      </c>
      <c r="C55" s="102" t="s">
        <v>94</v>
      </c>
      <c r="D55" s="102" t="s">
        <v>94</v>
      </c>
      <c r="E55" s="104" t="s">
        <v>95</v>
      </c>
      <c r="F55" s="104" t="s">
        <v>95</v>
      </c>
      <c r="G55" s="104" t="s">
        <v>95</v>
      </c>
      <c r="H55" s="104" t="s">
        <v>95</v>
      </c>
      <c r="I55" s="104" t="s">
        <v>95</v>
      </c>
      <c r="J55" s="104" t="s">
        <v>95</v>
      </c>
      <c r="K55" s="104" t="s">
        <v>95</v>
      </c>
      <c r="L55" s="104" t="s">
        <v>95</v>
      </c>
      <c r="M55" s="104" t="s">
        <v>95</v>
      </c>
    </row>
    <row r="56" spans="1:13" x14ac:dyDescent="0.25">
      <c r="A56" s="9" t="s">
        <v>103</v>
      </c>
      <c r="B56" s="121" t="s">
        <v>101</v>
      </c>
      <c r="C56" s="102" t="s">
        <v>4</v>
      </c>
      <c r="D56" s="102">
        <v>2</v>
      </c>
      <c r="E56" s="102">
        <v>10</v>
      </c>
      <c r="F56" s="102">
        <v>6</v>
      </c>
      <c r="G56" s="102">
        <v>11</v>
      </c>
      <c r="H56" s="102">
        <v>9</v>
      </c>
      <c r="I56" s="21">
        <v>8</v>
      </c>
      <c r="J56" s="21">
        <v>15</v>
      </c>
      <c r="K56" s="21">
        <v>12</v>
      </c>
      <c r="L56" s="21">
        <v>10</v>
      </c>
      <c r="M56" s="21">
        <v>13</v>
      </c>
    </row>
    <row r="57" spans="1:13" ht="15" customHeight="1" x14ac:dyDescent="0.25">
      <c r="A57" s="126" t="s">
        <v>239</v>
      </c>
      <c r="B57" s="118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</row>
    <row r="58" spans="1:13" x14ac:dyDescent="0.25">
      <c r="A58" s="11" t="s">
        <v>34</v>
      </c>
      <c r="B58" s="119" t="s">
        <v>265</v>
      </c>
      <c r="C58" s="102"/>
      <c r="D58" s="102"/>
      <c r="E58" s="102"/>
      <c r="F58" s="102"/>
      <c r="G58" s="102"/>
      <c r="H58" s="103"/>
      <c r="I58" s="21"/>
      <c r="J58" s="21"/>
      <c r="K58" s="21"/>
      <c r="L58" s="21"/>
      <c r="M58" s="21">
        <v>5</v>
      </c>
    </row>
    <row r="59" spans="1:13" x14ac:dyDescent="0.25">
      <c r="A59" s="11" t="s">
        <v>19</v>
      </c>
      <c r="B59" s="119" t="s">
        <v>265</v>
      </c>
      <c r="C59" s="102"/>
      <c r="D59" s="102"/>
      <c r="E59" s="102"/>
      <c r="F59" s="102"/>
      <c r="G59" s="102"/>
      <c r="H59" s="102"/>
      <c r="I59" s="21"/>
      <c r="J59" s="21"/>
      <c r="K59" s="21"/>
      <c r="L59" s="21"/>
      <c r="M59" s="21">
        <v>5</v>
      </c>
    </row>
    <row r="60" spans="1:13" x14ac:dyDescent="0.25">
      <c r="A60" s="11" t="s">
        <v>30</v>
      </c>
      <c r="B60" s="125" t="s">
        <v>0</v>
      </c>
      <c r="C60" s="104"/>
      <c r="D60" s="104"/>
      <c r="E60" s="104"/>
      <c r="F60" s="105"/>
      <c r="G60" s="104"/>
      <c r="H60" s="105"/>
      <c r="I60" s="105"/>
      <c r="J60" s="105"/>
      <c r="K60" s="105"/>
      <c r="L60" s="105"/>
      <c r="M60" s="105">
        <f t="shared" ref="M60" si="14">M59/M58</f>
        <v>1</v>
      </c>
    </row>
    <row r="61" spans="1:13" x14ac:dyDescent="0.25">
      <c r="A61" s="123" t="s">
        <v>240</v>
      </c>
      <c r="B61" s="125" t="s">
        <v>17</v>
      </c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 t="s">
        <v>95</v>
      </c>
    </row>
    <row r="62" spans="1:13" x14ac:dyDescent="0.25">
      <c r="A62" s="9" t="s">
        <v>241</v>
      </c>
      <c r="B62" s="121" t="s">
        <v>101</v>
      </c>
      <c r="C62" s="102"/>
      <c r="D62" s="102"/>
      <c r="E62" s="102"/>
      <c r="F62" s="102"/>
      <c r="G62" s="102"/>
      <c r="H62" s="102"/>
      <c r="I62" s="21"/>
      <c r="J62" s="21"/>
      <c r="K62" s="21"/>
      <c r="L62" s="21"/>
      <c r="M62" s="21">
        <v>4</v>
      </c>
    </row>
    <row r="63" spans="1:13" x14ac:dyDescent="0.25">
      <c r="A63" s="113" t="s">
        <v>137</v>
      </c>
      <c r="B63" s="117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1:13" x14ac:dyDescent="0.25">
      <c r="A64" s="11" t="s">
        <v>105</v>
      </c>
      <c r="B64" s="119" t="s">
        <v>265</v>
      </c>
      <c r="C64" s="23">
        <v>7</v>
      </c>
      <c r="D64" s="23">
        <v>7</v>
      </c>
      <c r="E64" s="23">
        <v>6</v>
      </c>
      <c r="F64" s="23">
        <v>11</v>
      </c>
      <c r="G64" s="23">
        <v>13</v>
      </c>
      <c r="H64" s="23">
        <v>13</v>
      </c>
      <c r="I64" s="12">
        <v>13</v>
      </c>
      <c r="J64" s="12">
        <v>13</v>
      </c>
      <c r="K64" s="12">
        <v>13</v>
      </c>
      <c r="L64" s="12">
        <v>12</v>
      </c>
      <c r="M64" s="12">
        <v>10</v>
      </c>
    </row>
    <row r="65" spans="1:13" x14ac:dyDescent="0.25">
      <c r="A65" s="11" t="s">
        <v>106</v>
      </c>
      <c r="B65" s="119" t="s">
        <v>265</v>
      </c>
      <c r="C65" s="23">
        <v>0</v>
      </c>
      <c r="D65" s="23">
        <v>0</v>
      </c>
      <c r="E65" s="23">
        <v>1</v>
      </c>
      <c r="F65" s="23">
        <v>3</v>
      </c>
      <c r="G65" s="23">
        <v>4</v>
      </c>
      <c r="H65" s="23">
        <v>4</v>
      </c>
      <c r="I65" s="12">
        <v>5</v>
      </c>
      <c r="J65" s="12">
        <v>5</v>
      </c>
      <c r="K65" s="12">
        <v>4</v>
      </c>
      <c r="L65" s="12">
        <v>4</v>
      </c>
      <c r="M65" s="12">
        <v>4</v>
      </c>
    </row>
    <row r="66" spans="1:13" x14ac:dyDescent="0.25">
      <c r="A66" s="9" t="s">
        <v>104</v>
      </c>
      <c r="B66" s="121" t="s">
        <v>101</v>
      </c>
      <c r="C66" s="23">
        <v>56</v>
      </c>
      <c r="D66" s="23">
        <v>58</v>
      </c>
      <c r="E66" s="23">
        <v>51</v>
      </c>
      <c r="F66" s="23">
        <v>45</v>
      </c>
      <c r="G66" s="23">
        <v>37</v>
      </c>
      <c r="H66" s="23">
        <v>44</v>
      </c>
      <c r="I66" s="12">
        <v>38</v>
      </c>
      <c r="J66" s="12">
        <v>36</v>
      </c>
      <c r="K66" s="12">
        <v>32</v>
      </c>
      <c r="L66" s="12">
        <v>22</v>
      </c>
      <c r="M66" s="12">
        <v>22</v>
      </c>
    </row>
    <row r="67" spans="1:13" x14ac:dyDescent="0.25">
      <c r="A67" s="113" t="s">
        <v>109</v>
      </c>
      <c r="B67" s="92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</row>
    <row r="68" spans="1:13" x14ac:dyDescent="0.25">
      <c r="A68" s="127" t="s">
        <v>190</v>
      </c>
      <c r="B68" s="129" t="s">
        <v>231</v>
      </c>
      <c r="C68" s="106">
        <v>5.2007480408297697</v>
      </c>
      <c r="D68" s="106">
        <v>5.1667142565498496</v>
      </c>
      <c r="E68" s="106">
        <v>4.9367476570289099</v>
      </c>
      <c r="F68" s="106">
        <v>3.9139547224315501</v>
      </c>
      <c r="G68" s="106">
        <v>3.1880629956508999</v>
      </c>
      <c r="H68" s="106">
        <v>2.1868371449803901</v>
      </c>
      <c r="I68" s="106">
        <v>1.8218868082148298</v>
      </c>
      <c r="J68" s="106">
        <v>4.2273119999999995</v>
      </c>
      <c r="K68" s="106">
        <v>3.5</v>
      </c>
      <c r="L68" s="106">
        <v>3.1230000000000002</v>
      </c>
      <c r="M68" s="106">
        <v>4.2380000000000004</v>
      </c>
    </row>
    <row r="69" spans="1:13" x14ac:dyDescent="0.25">
      <c r="A69" s="128" t="s">
        <v>108</v>
      </c>
      <c r="B69" s="130" t="s">
        <v>0</v>
      </c>
      <c r="C69" s="107" t="s">
        <v>2</v>
      </c>
      <c r="D69" s="107" t="s">
        <v>2</v>
      </c>
      <c r="E69" s="107" t="s">
        <v>2</v>
      </c>
      <c r="F69" s="107" t="s">
        <v>2</v>
      </c>
      <c r="G69" s="107" t="s">
        <v>2</v>
      </c>
      <c r="H69" s="107" t="s">
        <v>2</v>
      </c>
      <c r="I69" s="108">
        <v>0.15</v>
      </c>
      <c r="J69" s="108">
        <v>0.24</v>
      </c>
      <c r="K69" s="108">
        <v>0.55000000000000004</v>
      </c>
      <c r="L69" s="108">
        <v>0.38</v>
      </c>
      <c r="M69" s="108">
        <v>0.45029431000654024</v>
      </c>
    </row>
    <row r="70" spans="1:13" x14ac:dyDescent="0.25">
      <c r="A70" s="113" t="s">
        <v>165</v>
      </c>
      <c r="B70" s="92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</row>
    <row r="71" spans="1:13" x14ac:dyDescent="0.25">
      <c r="A71" s="128" t="s">
        <v>16</v>
      </c>
      <c r="B71" s="131" t="s">
        <v>12</v>
      </c>
      <c r="C71" s="24">
        <v>30.37</v>
      </c>
      <c r="D71" s="24">
        <v>29.39</v>
      </c>
      <c r="E71" s="24">
        <v>31.093</v>
      </c>
      <c r="F71" s="24">
        <v>31.847999999999999</v>
      </c>
      <c r="G71" s="24">
        <v>38.421700000000001</v>
      </c>
      <c r="H71" s="24">
        <v>60.957900000000002</v>
      </c>
      <c r="I71" s="24">
        <v>67.034899999999993</v>
      </c>
      <c r="J71" s="24">
        <v>58.352899999999998</v>
      </c>
      <c r="K71" s="24">
        <v>62.707799999999999</v>
      </c>
      <c r="L71" s="24">
        <v>64.736199999999997</v>
      </c>
      <c r="M71" s="24">
        <v>72.150000000000006</v>
      </c>
    </row>
    <row r="72" spans="1:13" x14ac:dyDescent="0.25">
      <c r="A72" s="21"/>
      <c r="B72" s="132"/>
      <c r="C72" s="23"/>
      <c r="D72" s="23"/>
      <c r="E72" s="23"/>
      <c r="F72" s="23"/>
      <c r="G72" s="23"/>
      <c r="H72" s="23"/>
    </row>
    <row r="73" spans="1:13" s="109" customFormat="1" ht="12" x14ac:dyDescent="0.2">
      <c r="A73" s="71" t="s">
        <v>38</v>
      </c>
      <c r="B73" s="72"/>
      <c r="C73" s="73"/>
      <c r="D73" s="73"/>
      <c r="E73" s="73"/>
      <c r="F73" s="73"/>
      <c r="G73" s="73"/>
      <c r="H73" s="73"/>
      <c r="I73" s="74"/>
      <c r="J73" s="74"/>
      <c r="K73" s="74"/>
      <c r="L73" s="74"/>
      <c r="M73" s="74"/>
    </row>
    <row r="74" spans="1:13" s="109" customFormat="1" ht="13.5" x14ac:dyDescent="0.2">
      <c r="A74" s="110" t="s">
        <v>149</v>
      </c>
      <c r="B74" s="72"/>
      <c r="C74" s="73"/>
      <c r="D74" s="73"/>
      <c r="E74" s="73"/>
      <c r="F74" s="73"/>
      <c r="G74" s="73"/>
      <c r="H74" s="73"/>
      <c r="I74" s="74"/>
      <c r="J74" s="74"/>
      <c r="K74" s="74"/>
      <c r="L74" s="74"/>
      <c r="M74" s="74"/>
    </row>
    <row r="75" spans="1:13" s="109" customFormat="1" ht="13.5" x14ac:dyDescent="0.2">
      <c r="A75" s="66" t="s">
        <v>186</v>
      </c>
      <c r="B75" s="72"/>
      <c r="C75" s="73"/>
      <c r="D75" s="73"/>
      <c r="E75" s="73"/>
      <c r="F75" s="73"/>
      <c r="G75" s="73"/>
      <c r="H75" s="73"/>
      <c r="I75" s="74"/>
      <c r="J75" s="74"/>
      <c r="K75" s="74"/>
      <c r="L75" s="74"/>
      <c r="M75" s="74"/>
    </row>
    <row r="76" spans="1:13" x14ac:dyDescent="0.25">
      <c r="A76" s="53"/>
      <c r="B76" s="22"/>
      <c r="C76" s="23"/>
      <c r="D76" s="23"/>
      <c r="E76" s="23"/>
      <c r="F76" s="23"/>
      <c r="G76" s="23"/>
      <c r="H76" s="23"/>
    </row>
    <row r="77" spans="1:13" x14ac:dyDescent="0.25">
      <c r="A77" s="48" t="s">
        <v>107</v>
      </c>
      <c r="B77" s="344"/>
      <c r="C77" s="344"/>
      <c r="D77" s="344"/>
      <c r="E77" s="344"/>
      <c r="F77" s="344"/>
      <c r="G77" s="344"/>
      <c r="H77" s="344"/>
      <c r="I77" s="344"/>
      <c r="J77" s="25"/>
      <c r="K77" s="25"/>
      <c r="L77" s="25"/>
      <c r="M77" s="25"/>
    </row>
    <row r="78" spans="1:13" x14ac:dyDescent="0.25">
      <c r="A78" s="56" t="s">
        <v>58</v>
      </c>
      <c r="B78" s="345"/>
      <c r="C78" s="344"/>
      <c r="D78" s="344"/>
      <c r="E78" s="344"/>
      <c r="F78" s="344"/>
      <c r="G78" s="344"/>
      <c r="H78" s="344"/>
      <c r="I78" s="344"/>
      <c r="J78" s="25"/>
      <c r="K78" s="25"/>
      <c r="L78" s="25"/>
      <c r="M78" s="25"/>
    </row>
    <row r="79" spans="1:13" x14ac:dyDescent="0.25">
      <c r="A79" s="56" t="s">
        <v>235</v>
      </c>
      <c r="B79" s="346"/>
      <c r="C79" s="347"/>
      <c r="D79" s="347"/>
      <c r="E79" s="347"/>
      <c r="F79" s="347"/>
      <c r="G79" s="347"/>
      <c r="H79" s="347"/>
      <c r="I79" s="347"/>
      <c r="J79" s="25"/>
      <c r="K79" s="25"/>
      <c r="L79" s="25"/>
      <c r="M79" s="25"/>
    </row>
    <row r="80" spans="1:13" x14ac:dyDescent="0.25">
      <c r="A80" s="56" t="s">
        <v>60</v>
      </c>
      <c r="B80" s="345"/>
      <c r="C80" s="344"/>
      <c r="D80" s="344"/>
      <c r="E80" s="344"/>
      <c r="F80" s="344"/>
      <c r="G80" s="344"/>
      <c r="H80" s="344"/>
      <c r="I80" s="344"/>
      <c r="J80" s="25"/>
      <c r="K80" s="25"/>
      <c r="L80" s="25"/>
      <c r="M80" s="25"/>
    </row>
    <row r="81" spans="1:13" x14ac:dyDescent="0.25">
      <c r="A81" s="56" t="s">
        <v>61</v>
      </c>
      <c r="B81" s="345"/>
      <c r="C81" s="345"/>
      <c r="D81" s="345"/>
      <c r="E81" s="345"/>
      <c r="F81" s="345"/>
      <c r="G81" s="345"/>
      <c r="H81" s="345"/>
      <c r="I81" s="345"/>
      <c r="J81" s="25"/>
      <c r="K81" s="25"/>
      <c r="L81" s="25"/>
      <c r="M81" s="25"/>
    </row>
    <row r="82" spans="1:13" x14ac:dyDescent="0.25">
      <c r="A82" s="56" t="s">
        <v>62</v>
      </c>
      <c r="B82" s="345"/>
      <c r="C82" s="344"/>
      <c r="D82" s="344"/>
      <c r="E82" s="344"/>
      <c r="F82" s="344"/>
      <c r="G82" s="344"/>
      <c r="H82" s="344"/>
      <c r="I82" s="344"/>
      <c r="J82" s="25"/>
      <c r="K82" s="25"/>
      <c r="L82" s="25"/>
      <c r="M82" s="25"/>
    </row>
    <row r="83" spans="1:13" x14ac:dyDescent="0.25">
      <c r="A83" s="56" t="s">
        <v>65</v>
      </c>
      <c r="B83" s="345"/>
      <c r="C83" s="345"/>
      <c r="D83" s="345"/>
      <c r="E83" s="345"/>
      <c r="F83" s="345"/>
      <c r="G83" s="345"/>
      <c r="H83" s="345"/>
      <c r="I83" s="345"/>
      <c r="J83" s="25"/>
      <c r="K83" s="25"/>
      <c r="L83" s="25"/>
      <c r="M83" s="25"/>
    </row>
    <row r="84" spans="1:13" x14ac:dyDescent="0.25">
      <c r="A84" s="56" t="s">
        <v>66</v>
      </c>
      <c r="B84" s="345"/>
      <c r="C84" s="344"/>
      <c r="D84" s="344"/>
      <c r="E84" s="344"/>
      <c r="F84" s="344"/>
      <c r="G84" s="344"/>
      <c r="H84" s="344"/>
      <c r="I84" s="344"/>
    </row>
    <row r="85" spans="1:13" x14ac:dyDescent="0.25">
      <c r="A85" s="56" t="s">
        <v>67</v>
      </c>
      <c r="B85" s="345"/>
      <c r="C85" s="344"/>
      <c r="D85" s="344"/>
      <c r="E85" s="344"/>
      <c r="F85" s="344"/>
      <c r="G85" s="344"/>
      <c r="H85" s="344"/>
      <c r="I85" s="344"/>
      <c r="J85" s="25"/>
      <c r="K85" s="25"/>
      <c r="L85" s="25"/>
      <c r="M85" s="25"/>
    </row>
    <row r="86" spans="1:13" x14ac:dyDescent="0.25">
      <c r="A86" s="56" t="s">
        <v>64</v>
      </c>
      <c r="B86" s="345"/>
      <c r="C86" s="344"/>
      <c r="D86" s="344"/>
      <c r="E86" s="344"/>
      <c r="F86" s="344"/>
      <c r="G86" s="344"/>
      <c r="H86" s="344"/>
      <c r="I86" s="344"/>
      <c r="J86" s="25"/>
      <c r="K86" s="25"/>
      <c r="L86" s="25"/>
      <c r="M86" s="25"/>
    </row>
    <row r="87" spans="1:13" x14ac:dyDescent="0.25">
      <c r="A87" s="56" t="s">
        <v>110</v>
      </c>
      <c r="B87" s="351"/>
      <c r="C87" s="351"/>
      <c r="D87" s="351"/>
      <c r="E87" s="351"/>
      <c r="F87" s="351"/>
      <c r="G87" s="351"/>
      <c r="H87" s="351"/>
      <c r="I87" s="351"/>
      <c r="J87" s="25"/>
      <c r="K87" s="25"/>
      <c r="L87" s="25"/>
      <c r="M87" s="25"/>
    </row>
    <row r="88" spans="1:13" x14ac:dyDescent="0.25">
      <c r="A88" s="352" t="s">
        <v>90</v>
      </c>
      <c r="B88" s="352"/>
      <c r="C88" s="94"/>
      <c r="D88" s="94"/>
      <c r="E88" s="94"/>
      <c r="F88" s="94"/>
      <c r="G88" s="94"/>
      <c r="H88" s="94"/>
      <c r="I88" s="94"/>
      <c r="J88" s="25"/>
      <c r="K88" s="25"/>
      <c r="L88" s="25"/>
      <c r="M88" s="25"/>
    </row>
    <row r="89" spans="1:13" x14ac:dyDescent="0.25">
      <c r="A89" s="56" t="s">
        <v>63</v>
      </c>
      <c r="B89" s="345"/>
      <c r="C89" s="344"/>
      <c r="D89" s="344"/>
      <c r="E89" s="344"/>
      <c r="F89" s="344"/>
      <c r="G89" s="344"/>
      <c r="H89" s="344"/>
      <c r="I89" s="344"/>
    </row>
    <row r="90" spans="1:13" x14ac:dyDescent="0.25">
      <c r="A90" s="57" t="s">
        <v>68</v>
      </c>
      <c r="B90" s="345"/>
      <c r="C90" s="349"/>
      <c r="D90" s="349"/>
      <c r="E90" s="349"/>
      <c r="F90" s="349"/>
      <c r="G90" s="349"/>
      <c r="H90" s="349"/>
      <c r="I90" s="349"/>
    </row>
    <row r="91" spans="1:13" x14ac:dyDescent="0.25">
      <c r="A91" s="56" t="s">
        <v>69</v>
      </c>
      <c r="B91" s="346"/>
      <c r="C91" s="350"/>
      <c r="D91" s="350"/>
      <c r="E91" s="350"/>
      <c r="F91" s="350"/>
      <c r="G91" s="350"/>
      <c r="H91" s="350"/>
      <c r="I91" s="350"/>
    </row>
    <row r="92" spans="1:13" x14ac:dyDescent="0.25">
      <c r="A92" s="58" t="s">
        <v>111</v>
      </c>
      <c r="B92" s="345"/>
      <c r="C92" s="348"/>
      <c r="D92" s="348"/>
      <c r="E92" s="348"/>
      <c r="F92" s="348"/>
      <c r="G92" s="348"/>
      <c r="H92" s="348"/>
      <c r="I92" s="348"/>
    </row>
    <row r="93" spans="1:13" x14ac:dyDescent="0.25">
      <c r="A93" s="58" t="s">
        <v>236</v>
      </c>
      <c r="B93" s="21"/>
      <c r="C93" s="21"/>
      <c r="D93" s="21"/>
      <c r="E93" s="21"/>
      <c r="F93" s="21"/>
      <c r="G93" s="21"/>
      <c r="H93" s="21"/>
      <c r="I93" s="21"/>
    </row>
    <row r="94" spans="1:13" x14ac:dyDescent="0.25"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1:13" s="99" customFormat="1" x14ac:dyDescent="0.25">
      <c r="B95" s="111"/>
      <c r="C95" s="111"/>
      <c r="D95" s="111"/>
      <c r="E95" s="111"/>
      <c r="F95" s="111"/>
      <c r="G95" s="111"/>
      <c r="H95" s="111"/>
      <c r="I95" s="111"/>
      <c r="J95" s="111"/>
      <c r="K95" s="111"/>
      <c r="L95" s="111"/>
      <c r="M95" s="111"/>
    </row>
    <row r="96" spans="1:13" s="99" customFormat="1" x14ac:dyDescent="0.25">
      <c r="B96" s="97"/>
      <c r="C96" s="112"/>
      <c r="D96" s="112"/>
      <c r="E96" s="112"/>
      <c r="F96" s="112"/>
      <c r="G96" s="112"/>
      <c r="H96" s="112"/>
      <c r="I96" s="97"/>
      <c r="J96" s="97"/>
      <c r="K96" s="97"/>
      <c r="L96" s="97"/>
      <c r="M96" s="97"/>
    </row>
  </sheetData>
  <mergeCells count="32">
    <mergeCell ref="A1:A3"/>
    <mergeCell ref="C1:C3"/>
    <mergeCell ref="D1:D3"/>
    <mergeCell ref="E1:E3"/>
    <mergeCell ref="F1:F3"/>
    <mergeCell ref="B1:B3"/>
    <mergeCell ref="B77:I77"/>
    <mergeCell ref="B78:I78"/>
    <mergeCell ref="B79:I79"/>
    <mergeCell ref="B80:I80"/>
    <mergeCell ref="B92:I92"/>
    <mergeCell ref="B81:I81"/>
    <mergeCell ref="B83:I83"/>
    <mergeCell ref="B90:I90"/>
    <mergeCell ref="B91:I91"/>
    <mergeCell ref="B86:I86"/>
    <mergeCell ref="B82:I82"/>
    <mergeCell ref="B84:I84"/>
    <mergeCell ref="B85:I85"/>
    <mergeCell ref="B89:I89"/>
    <mergeCell ref="B87:I87"/>
    <mergeCell ref="A88:B88"/>
    <mergeCell ref="C57:M57"/>
    <mergeCell ref="J1:J3"/>
    <mergeCell ref="I1:I3"/>
    <mergeCell ref="H1:H3"/>
    <mergeCell ref="G1:G3"/>
    <mergeCell ref="I51:M51"/>
    <mergeCell ref="M1:M3"/>
    <mergeCell ref="L5:M5"/>
    <mergeCell ref="L1:L3"/>
    <mergeCell ref="K1:K3"/>
  </mergeCells>
  <hyperlinks>
    <hyperlink ref="A78" r:id="rId1"/>
    <hyperlink ref="A80" r:id="rId2"/>
    <hyperlink ref="A81" r:id="rId3"/>
    <hyperlink ref="A82" r:id="rId4"/>
    <hyperlink ref="A83" r:id="rId5"/>
    <hyperlink ref="A84" r:id="rId6"/>
    <hyperlink ref="A86" r:id="rId7"/>
    <hyperlink ref="A87" r:id="rId8"/>
    <hyperlink ref="A88" r:id="rId9"/>
    <hyperlink ref="A89" r:id="rId10"/>
    <hyperlink ref="A90" r:id="rId11"/>
    <hyperlink ref="A91" r:id="rId12"/>
    <hyperlink ref="A92" r:id="rId13"/>
    <hyperlink ref="A79" r:id="rId14"/>
    <hyperlink ref="A85" r:id="rId15"/>
    <hyperlink ref="A93" r:id="rId16" display="https://www.nornickel.com/upload/iblock/5ed/Information_Policy.pdf"/>
  </hyperlinks>
  <pageMargins left="0.25" right="0.25" top="0.75" bottom="0.75" header="0.3" footer="0.3"/>
  <pageSetup paperSize="9" scale="54" orientation="portrait"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E0FBBA16DE32F243A531172E7F38DCF5" ma:contentTypeVersion="0" ma:contentTypeDescription="Создание документа." ma:contentTypeScope="" ma:versionID="8dc994e94eebca157fc4bd22e1647ada">
  <xsd:schema xmlns:xsd="http://www.w3.org/2001/XMLSchema" xmlns:xs="http://www.w3.org/2001/XMLSchema" xmlns:p="http://schemas.microsoft.com/office/2006/metadata/properties" xmlns:ns2="2e6c4e6a-6d57-47d6-9288-076169c1f698" targetNamespace="http://schemas.microsoft.com/office/2006/metadata/properties" ma:root="true" ma:fieldsID="899b4d0d15f6c81608c1f8921f6e86bd" ns2:_="">
    <xsd:import namespace="2e6c4e6a-6d57-47d6-9288-076169c1f69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6c4e6a-6d57-47d6-9288-076169c1f69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1FDB9B-0F45-4739-BAB4-D26ED936B46A}">
  <ds:schemaRefs>
    <ds:schemaRef ds:uri="http://schemas.microsoft.com/office/infopath/2007/PartnerControls"/>
    <ds:schemaRef ds:uri="http://schemas.microsoft.com/office/2006/metadata/properties"/>
    <ds:schemaRef ds:uri="2e6c4e6a-6d57-47d6-9288-076169c1f698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884983B-CEE7-46DC-8DE6-4E71E73D8A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279FCB-5F55-4740-BB85-09B9D214F1D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A566946-93EE-47A1-8911-AC4C875B31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6c4e6a-6d57-47d6-9288-076169c1f6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MENU</vt:lpstr>
      <vt:lpstr>ENVIRONMENT</vt:lpstr>
      <vt:lpstr>SOCIAL</vt:lpstr>
      <vt:lpstr>GOVERNANCE</vt:lpstr>
      <vt:lpstr>ENVIRONMENT!Область_печати</vt:lpstr>
      <vt:lpstr>GOVERNANCE!Область_печати</vt:lpstr>
      <vt:lpstr>MENU!Область_печати</vt:lpstr>
      <vt:lpstr>SOCIAL!Область_печати</vt:lpstr>
    </vt:vector>
  </TitlesOfParts>
  <Company>ПАО "ГМК "Норильский никель"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AlekseenkoVV@nornik.ru</dc:creator>
  <cp:lastModifiedBy>Алексеенко Валерия Валерьевна</cp:lastModifiedBy>
  <cp:lastPrinted>2017-11-27T11:44:17Z</cp:lastPrinted>
  <dcterms:created xsi:type="dcterms:W3CDTF">2016-12-15T13:22:24Z</dcterms:created>
  <dcterms:modified xsi:type="dcterms:W3CDTF">2021-09-22T07:37:10Z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0x010100E0FBBA16DE32F243A531172E7F38DCF5</vt:lpwstr>
  </property>
</Properties>
</file>